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ocuments\Patentics\Txt\"/>
    </mc:Choice>
  </mc:AlternateContent>
  <bookViews>
    <workbookView xWindow="0" yWindow="0" windowWidth="25170" windowHeight="11055"/>
  </bookViews>
  <sheets>
    <sheet name="Patentics" sheetId="1" r:id="rId1"/>
    <sheet name="分析库" sheetId="2" r:id="rId2"/>
  </sheets>
  <calcPr calcId="152511"/>
</workbook>
</file>

<file path=xl/calcChain.xml><?xml version="1.0" encoding="utf-8"?>
<calcChain xmlns="http://schemas.openxmlformats.org/spreadsheetml/2006/main">
  <c r="A2211" i="1" l="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1" i="1"/>
</calcChain>
</file>

<file path=xl/sharedStrings.xml><?xml version="1.0" encoding="utf-8"?>
<sst xmlns="http://schemas.openxmlformats.org/spreadsheetml/2006/main" count="39798" uniqueCount="9896">
  <si>
    <t/>
  </si>
  <si>
    <t>p:ann/zte and db/all and g/ref-s and ann/qualcomm and g/cite-d and ann/zte</t>
  </si>
  <si>
    <t>公开号</t>
  </si>
  <si>
    <t>申请号</t>
  </si>
  <si>
    <t>标题</t>
  </si>
  <si>
    <t>申请人</t>
  </si>
  <si>
    <t>标准申请人</t>
  </si>
  <si>
    <t>发明人</t>
  </si>
  <si>
    <t>第一发明人</t>
  </si>
  <si>
    <t>优先权日</t>
  </si>
  <si>
    <t>申请日</t>
  </si>
  <si>
    <t>公开日</t>
  </si>
  <si>
    <t>国际主分类</t>
  </si>
  <si>
    <t>国际分类</t>
  </si>
  <si>
    <t>CPC主分类</t>
  </si>
  <si>
    <t>CPC分类</t>
  </si>
  <si>
    <t>专利度</t>
  </si>
  <si>
    <t>特征度</t>
  </si>
  <si>
    <t>专利类型</t>
  </si>
  <si>
    <t>优先权国家</t>
  </si>
  <si>
    <t>引用数</t>
  </si>
  <si>
    <t>自引用数</t>
  </si>
  <si>
    <t>非自引用数</t>
  </si>
  <si>
    <t>引用公司数</t>
  </si>
  <si>
    <t>被引用数</t>
  </si>
  <si>
    <t>影响因子</t>
  </si>
  <si>
    <t>被自引用</t>
  </si>
  <si>
    <t>非被自引用数</t>
  </si>
  <si>
    <t>被引用公司数</t>
  </si>
  <si>
    <t>被引用国家数</t>
  </si>
  <si>
    <t>同族数</t>
  </si>
  <si>
    <t>同族国家数</t>
  </si>
  <si>
    <t>等级</t>
  </si>
  <si>
    <t>相关度</t>
  </si>
  <si>
    <t>法律状态</t>
  </si>
  <si>
    <t>CN03115110.8</t>
  </si>
  <si>
    <t>智能天线波束切换方法</t>
  </si>
  <si>
    <t>深圳市中兴通讯股份有限公司</t>
  </si>
  <si>
    <t>中兴通讯股份有限公司</t>
  </si>
  <si>
    <t>李蓉|杨峰|袁翔</t>
  </si>
  <si>
    <t>李蓉</t>
  </si>
  <si>
    <t>2003/01/20</t>
  </si>
  <si>
    <t>2004/08/11</t>
  </si>
  <si>
    <t>H04Q</t>
  </si>
  <si>
    <t>H04Q  7/36</t>
  </si>
  <si>
    <t>H04Q7/38H</t>
  </si>
  <si>
    <t>发明</t>
  </si>
  <si>
    <t>CN</t>
  </si>
  <si>
    <t>1.72</t>
  </si>
  <si>
    <t>有效</t>
  </si>
  <si>
    <t>11/261,805</t>
  </si>
  <si>
    <t>Scalable frequency band operation in wireless communication systems</t>
  </si>
  <si>
    <t>高通</t>
  </si>
  <si>
    <t>Khandekar; Aamod|Gorokhov; Alexei|Agrawal; Avneesh|Vijayan; Rajiv|Teague; Edward Harrison|Ulupinar; Fatih</t>
  </si>
  <si>
    <t>Khandekar; Aamod</t>
  </si>
  <si>
    <t>2005/10/27</t>
  </si>
  <si>
    <t>2011/10/25</t>
  </si>
  <si>
    <t>H04Q  7/00</t>
  </si>
  <si>
    <t>H04L</t>
  </si>
  <si>
    <t>H04L5/023</t>
  </si>
  <si>
    <t>授权</t>
  </si>
  <si>
    <t>US</t>
  </si>
  <si>
    <t>2.18</t>
  </si>
  <si>
    <t>12/429,896</t>
  </si>
  <si>
    <t>Signaling method in an OFDM multiple access system</t>
  </si>
  <si>
    <t>Laroia; Rajiv|Li; Junyi|Uppala; Sathyadev Venkata</t>
  </si>
  <si>
    <t>Laroia; Rajiv</t>
  </si>
  <si>
    <t>2000/09/13</t>
  </si>
  <si>
    <t>2009/04/24</t>
  </si>
  <si>
    <t>2012/01/17</t>
  </si>
  <si>
    <t>H04J</t>
  </si>
  <si>
    <t>H04J 11/00</t>
  </si>
  <si>
    <t>1.96</t>
  </si>
  <si>
    <t>12/429,927</t>
  </si>
  <si>
    <t>0.2</t>
  </si>
  <si>
    <t>11/129,140</t>
  </si>
  <si>
    <t>Channel structures for a quasi-orthogonal multiple-access communication system</t>
  </si>
  <si>
    <t>Ji; Tingfang|Naguib; Ayman|Sutivong; Arak|Gore; Dhananjay Ashok|Gorokhov; Alexei</t>
  </si>
  <si>
    <t>Ji; Tingfang</t>
  </si>
  <si>
    <t>2005/03/16</t>
  </si>
  <si>
    <t>2005/05/13</t>
  </si>
  <si>
    <t>2013/05/21</t>
  </si>
  <si>
    <t>H04W</t>
  </si>
  <si>
    <t>H04W  4/00</t>
  </si>
  <si>
    <t>H04B</t>
  </si>
  <si>
    <t>H04B1/7143</t>
  </si>
  <si>
    <t>1.49</t>
  </si>
  <si>
    <t>11/445,377</t>
  </si>
  <si>
    <t>Sphere decoding apparatus</t>
  </si>
  <si>
    <t>Sampath; Hemanth|Kadous; Tamer</t>
  </si>
  <si>
    <t>Sampath; Hemanth</t>
  </si>
  <si>
    <t>2005/06/01</t>
  </si>
  <si>
    <t>2006/05/31</t>
  </si>
  <si>
    <t>2013/06/11</t>
  </si>
  <si>
    <t>H04L 27/28</t>
  </si>
  <si>
    <t>H03M</t>
  </si>
  <si>
    <t>H03M13/45</t>
  </si>
  <si>
    <t>11/943,551</t>
  </si>
  <si>
    <t>Acknowledgement of control messages in a wireless communication system</t>
  </si>
  <si>
    <t>Khandekar; Aamod|Gorokhov; Alexei|Agrawal; Avneesh|Rangan; Sundeep|Das; Arnab</t>
  </si>
  <si>
    <t>2006/12/04</t>
  </si>
  <si>
    <t>2007/11/20</t>
  </si>
  <si>
    <t>2013/07/02</t>
  </si>
  <si>
    <t>H04L1/1607</t>
  </si>
  <si>
    <t>0.12</t>
  </si>
  <si>
    <t>12/791,702</t>
  </si>
  <si>
    <t>2010/06/01</t>
  </si>
  <si>
    <t>2013/10/01</t>
  </si>
  <si>
    <t>0.1</t>
  </si>
  <si>
    <t>11/260,931</t>
  </si>
  <si>
    <t>Puncturing signaling channel for a wireless communication system</t>
  </si>
  <si>
    <t>Gorokhov; Alexei|Dong; Min</t>
  </si>
  <si>
    <t>Gorokhov; Alexei</t>
  </si>
  <si>
    <t>2013/10/22</t>
  </si>
  <si>
    <t>H04B  7/216</t>
  </si>
  <si>
    <t>H04B1/7103</t>
  </si>
  <si>
    <t>7.70</t>
  </si>
  <si>
    <t>11/261,832</t>
  </si>
  <si>
    <t>2013/11/12</t>
  </si>
  <si>
    <t>H04W28/20</t>
  </si>
  <si>
    <t>0.15</t>
  </si>
  <si>
    <t>11/325,980</t>
  </si>
  <si>
    <t>Frequency division multiple access schemes for wireless communication</t>
  </si>
  <si>
    <t>Gore; Dhananjay Ashok|Palanki; Ravi</t>
  </si>
  <si>
    <t>Gore; Dhananjay Ashok</t>
  </si>
  <si>
    <t>2005/11/18</t>
  </si>
  <si>
    <t>2006/01/04</t>
  </si>
  <si>
    <t>H04B  7/208</t>
  </si>
  <si>
    <t>H04B1/00</t>
  </si>
  <si>
    <t>0.70</t>
  </si>
  <si>
    <t>11/449,893</t>
  </si>
  <si>
    <t>Robust rank prediction for a MIMO system</t>
  </si>
  <si>
    <t>2005/06/16</t>
  </si>
  <si>
    <t>2006/06/09</t>
  </si>
  <si>
    <t>2013/12/03</t>
  </si>
  <si>
    <t>H04B  7/02</t>
  </si>
  <si>
    <t>H04B7/0417</t>
  </si>
  <si>
    <t>1.24</t>
  </si>
  <si>
    <t>11/370,639</t>
  </si>
  <si>
    <t>Use of supplemental assignments to decrement resources</t>
  </si>
  <si>
    <t>Agrawal; Avneesh|Khandekar; Aamod|Gorokhov; Alexei|Teague; Edward Harrison</t>
  </si>
  <si>
    <t>Agrawal; Avneesh</t>
  </si>
  <si>
    <t>2005/05/31</t>
  </si>
  <si>
    <t>2006/03/07</t>
  </si>
  <si>
    <t>2013/12/17</t>
  </si>
  <si>
    <t>H04Q  1/00</t>
  </si>
  <si>
    <t>H04L5/0044</t>
  </si>
  <si>
    <t>0.0</t>
  </si>
  <si>
    <t>11/260,932</t>
  </si>
  <si>
    <t>Varied transmission time intervals for wireless communication system</t>
  </si>
  <si>
    <t>Gorokhov; Alexei|Teague; Edward H.|Khandekar; Aamod</t>
  </si>
  <si>
    <t>2005/08/24</t>
  </si>
  <si>
    <t>2014/02/04</t>
  </si>
  <si>
    <t>H04J  3/24</t>
  </si>
  <si>
    <t>H04W72/1231</t>
  </si>
  <si>
    <t>1.14</t>
  </si>
  <si>
    <t>12/952,019</t>
  </si>
  <si>
    <t>2010/11/22</t>
  </si>
  <si>
    <t>2014/03/25</t>
  </si>
  <si>
    <t>11/261,837</t>
  </si>
  <si>
    <t>SDMA resource management</t>
  </si>
  <si>
    <t>Ji; Tingfang|Gore; Dhananjay Ashok|Gorokhov; Alexei|Dong; Min|Agrawal; Avneesh</t>
  </si>
  <si>
    <t>2014/04/08</t>
  </si>
  <si>
    <t>H04B  7/00</t>
  </si>
  <si>
    <t>H04B7/026</t>
  </si>
  <si>
    <t>0.57</t>
  </si>
  <si>
    <t>12/389,089</t>
  </si>
  <si>
    <t>Gorokhov; Alexei|Teague; Edward Harrison|Khandekar; Aamod</t>
  </si>
  <si>
    <t>2009/02/19</t>
  </si>
  <si>
    <t>2014/07/22</t>
  </si>
  <si>
    <t>11/620,035</t>
  </si>
  <si>
    <t>Reverse link other sector communication</t>
  </si>
  <si>
    <t>Borran; Mohammad J.|Khandekar; Aamod|Ji; Tingfang</t>
  </si>
  <si>
    <t>Borran; Mohammad J.</t>
  </si>
  <si>
    <t>2006/01/05</t>
  </si>
  <si>
    <t>2007/01/04</t>
  </si>
  <si>
    <t>2014/09/09</t>
  </si>
  <si>
    <t>H04W 36/00</t>
  </si>
  <si>
    <t>H04L1/1829</t>
  </si>
  <si>
    <t>13/178,357</t>
  </si>
  <si>
    <t>Khandekar; Aamod Dinkar|Gorokhov; Alexei Yurievitch|Agrawal; Avneesh|Vijayan; Rajiv|Teague; Edward Harrison|Ulupinar; Fatih</t>
  </si>
  <si>
    <t>Khandekar; Aamod Dinkar</t>
  </si>
  <si>
    <t>2011/07/07</t>
  </si>
  <si>
    <t>2014/09/23</t>
  </si>
  <si>
    <t>11/370,638</t>
  </si>
  <si>
    <t>Assignment acknowledgement for a wireless communication system</t>
  </si>
  <si>
    <t>Agrawal; Avneesh|Khandekar; Aamod|Gorokhov; Alexei</t>
  </si>
  <si>
    <t>2014/11/04</t>
  </si>
  <si>
    <t>H04L  5/00</t>
  </si>
  <si>
    <t>0.13</t>
  </si>
  <si>
    <t>11/431,969</t>
  </si>
  <si>
    <t>Code division multiplexing in a single-carrier frequency division multiple access system</t>
  </si>
  <si>
    <t>Palanki; Ravi|Khandekar; Aamod|Sutivong; Arak</t>
  </si>
  <si>
    <t>Palanki; Ravi</t>
  </si>
  <si>
    <t>2005/08/08</t>
  </si>
  <si>
    <t>2006/05/10</t>
  </si>
  <si>
    <t>2014/11/11</t>
  </si>
  <si>
    <t>H04B1/692</t>
  </si>
  <si>
    <t>0.41</t>
  </si>
  <si>
    <t>13/299,898</t>
  </si>
  <si>
    <t>Frequency hopping design for single carrier FDMA systems</t>
  </si>
  <si>
    <t>2005/04/19</t>
  </si>
  <si>
    <t>2011/11/18</t>
  </si>
  <si>
    <t>2014/12/23</t>
  </si>
  <si>
    <t>H04B  7/204</t>
  </si>
  <si>
    <t>11/209,246</t>
  </si>
  <si>
    <t>2005/08/22</t>
  </si>
  <si>
    <t>2015/05/19</t>
  </si>
  <si>
    <t>11/511,735</t>
  </si>
  <si>
    <t>Pilot symbol transmission in wireless communication systems</t>
  </si>
  <si>
    <t>Khandekar; Aamod|Agrawal; Avneesh|Gore; Dhananjay Ashok</t>
  </si>
  <si>
    <t>2006/08/28</t>
  </si>
  <si>
    <t>2015/07/21</t>
  </si>
  <si>
    <t>G11B</t>
  </si>
  <si>
    <t>G11B 17/04</t>
  </si>
  <si>
    <t>09/931,469</t>
  </si>
  <si>
    <t>OFDM communications methods and apparatus</t>
  </si>
  <si>
    <t>Laroia; Rajiv|Li; Junyi</t>
  </si>
  <si>
    <t>2001/08/16</t>
  </si>
  <si>
    <t>2015/09/08</t>
  </si>
  <si>
    <t>11/401,979</t>
  </si>
  <si>
    <t>Precoding and SDMA support</t>
  </si>
  <si>
    <t>Gorokhov; Alexei|Gore; Dhananjay Ashok|Barriac; Gwendolyn D.|Wang; Jibing|Kadous; Tamer</t>
  </si>
  <si>
    <t>2005/08/30</t>
  </si>
  <si>
    <t>2006/04/10</t>
  </si>
  <si>
    <t>2015/09/15</t>
  </si>
  <si>
    <t>H04W 72/00</t>
  </si>
  <si>
    <t>H04L1/0001</t>
  </si>
  <si>
    <t>11/020,457</t>
  </si>
  <si>
    <t>Efficient signaling over access channel</t>
  </si>
  <si>
    <t>Sutivong; Arak|Teague; Edward Harrison|Gorokhov; Alexei</t>
  </si>
  <si>
    <t>Sutivong; Arak</t>
  </si>
  <si>
    <t>2004/07/21</t>
  </si>
  <si>
    <t>2004/12/22</t>
  </si>
  <si>
    <t>H04B  7/212</t>
  </si>
  <si>
    <t>H04W74/004</t>
  </si>
  <si>
    <t>11/083,693</t>
  </si>
  <si>
    <t>Pilot signal transmission for an orthogonal frequency division wireless communication system</t>
  </si>
  <si>
    <t>Gorokhov; Alexei|Naguib; Ayman Fawzy|Sutivong; Arak|Gore; Dhananjay Ashok|Ji; Tingfang</t>
  </si>
  <si>
    <t>2005/03/17</t>
  </si>
  <si>
    <t>2015/09/22</t>
  </si>
  <si>
    <t>11/370,640</t>
  </si>
  <si>
    <t>Resource allocation for shared signaling channels</t>
  </si>
  <si>
    <t>Khandekar; Aamod|Gorokhov; Alexei</t>
  </si>
  <si>
    <t>H04W 72/04</t>
  </si>
  <si>
    <t>H04W72/0406</t>
  </si>
  <si>
    <t>11/021,791</t>
  </si>
  <si>
    <t>Performance based rank prediction for MIMO design</t>
  </si>
  <si>
    <t>2015/09/29</t>
  </si>
  <si>
    <t>H04L  1/06</t>
  </si>
  <si>
    <t>H04L1/0618</t>
  </si>
  <si>
    <t>11/233,844</t>
  </si>
  <si>
    <t>Systems and methods for beamforming feedback in multi antenna communication systems</t>
  </si>
  <si>
    <t>Sampath; Hemanth|Khandekar; Aamod|Gore; Dhananjay Ashok|Gorokhov; Alexei|Kadous; Tamer</t>
  </si>
  <si>
    <t>2005/03/24</t>
  </si>
  <si>
    <t>2005/09/21</t>
  </si>
  <si>
    <t>2015/10/06</t>
  </si>
  <si>
    <t>H04L 27/00</t>
  </si>
  <si>
    <t>H04B7/0634</t>
  </si>
  <si>
    <t>11/261,064</t>
  </si>
  <si>
    <t>Method and apparatus for pre-coding frequency division duplexing system</t>
  </si>
  <si>
    <t>Wang; Jibing|Kadous; Tamer|Gore; Dhananjay Ashok</t>
  </si>
  <si>
    <t>Wang; Jibing</t>
  </si>
  <si>
    <t>2015/10/27</t>
  </si>
  <si>
    <t>H04J  1/00</t>
  </si>
  <si>
    <t>H04B7/0639</t>
  </si>
  <si>
    <t>11/260,895</t>
  </si>
  <si>
    <t>Adaptive sectorization in cellular systems</t>
  </si>
  <si>
    <t>Gore; Dhananjay Ashok|Gorokhov; Alexei|Sampath; Hemanth|Ji; Tingfang|Kadous; Tamer</t>
  </si>
  <si>
    <t>2015/11/03</t>
  </si>
  <si>
    <t>H04M</t>
  </si>
  <si>
    <t>H04M  1/00</t>
  </si>
  <si>
    <t>H04W16/00</t>
  </si>
  <si>
    <t>11/261,836</t>
  </si>
  <si>
    <t>Systems and methods for control channel signaling</t>
  </si>
  <si>
    <t>Sampath; Hemanth|Gorokhov; Alexei|Khandekar; Aamod|Teague; Edward Harrison|Julian; David Jonathan|Kadous; Tamer|Sutivong; Arak</t>
  </si>
  <si>
    <t>2005/04/01</t>
  </si>
  <si>
    <t>2015/11/10</t>
  </si>
  <si>
    <t>H04B  7/14</t>
  </si>
  <si>
    <t>H04L1/0028</t>
  </si>
  <si>
    <t>11/260,924</t>
  </si>
  <si>
    <t>Segment sensitive scheduling</t>
  </si>
  <si>
    <t>Gorokhov; Alexei|Ji; Tingfang</t>
  </si>
  <si>
    <t>2015/12/08</t>
  </si>
  <si>
    <t>H04L5/006</t>
  </si>
  <si>
    <t>11/261,065</t>
  </si>
  <si>
    <t>Method and apparatus for bootstraping information in a communication system</t>
  </si>
  <si>
    <t>Teague; Edward Harrison|Ulupinar; Fatih|Prakash; Rajat|Khandekar; Aamod</t>
  </si>
  <si>
    <t>Teague; Edward Harrison</t>
  </si>
  <si>
    <t>H04L 12/28</t>
  </si>
  <si>
    <t>H04W48/12</t>
  </si>
  <si>
    <t>11/261,806</t>
  </si>
  <si>
    <t>Varied signaling channels for a reverse link in a wireless communication system</t>
  </si>
  <si>
    <t>Gorokhov; Alexei|Khandekar; Aamod|Teague; Edward Harrison|Sampath; Hemanth</t>
  </si>
  <si>
    <t>2015/12/29</t>
  </si>
  <si>
    <t>H04B7/2656</t>
  </si>
  <si>
    <t>11/261,158</t>
  </si>
  <si>
    <t>Shared signaling channel</t>
  </si>
  <si>
    <t>Khandekar; Aamod|Gorokhov; Alexei|Gore; Dhananjay Ashok|Teague; Edward Harrison|Dong; Min</t>
  </si>
  <si>
    <t>12/372,954</t>
  </si>
  <si>
    <t>Gorokhov; Alexei Y.|Ji; Tingfang</t>
  </si>
  <si>
    <t>Gorokhov; Alexei Y.</t>
  </si>
  <si>
    <t>2009/02/18</t>
  </si>
  <si>
    <t>2016/01/19</t>
  </si>
  <si>
    <t>11/186,697</t>
  </si>
  <si>
    <t>Systems and methods for beamforming and rate control in a multi-input multi-output communication systems</t>
  </si>
  <si>
    <t>Sampath; Hemanth|Kadous; Tamer|Gorokhov; Alexei|Gore; Dhananjay Ashok</t>
  </si>
  <si>
    <t>2005/03/10</t>
  </si>
  <si>
    <t>2005/07/20</t>
  </si>
  <si>
    <t>2016/01/26</t>
  </si>
  <si>
    <t>H04B  1/00</t>
  </si>
  <si>
    <t>12/388,414</t>
  </si>
  <si>
    <t>H04B  3/10</t>
  </si>
  <si>
    <t>13/831,323</t>
  </si>
  <si>
    <t>Channel quality reporting for adaptive sectorization</t>
  </si>
  <si>
    <t>Gore; Dhananjay Ashok|Gorokhov; Alexei Yurievitch|Ji; Tingfang|Khandekar; Aamod Dinkar|Kadous; Tamer Adel</t>
  </si>
  <si>
    <t>2013/03/14</t>
  </si>
  <si>
    <t>2016/04/05</t>
  </si>
  <si>
    <t>H04W 72/08</t>
  </si>
  <si>
    <t>H04W72/08</t>
  </si>
  <si>
    <t>11/261,822</t>
  </si>
  <si>
    <t>Gore; Dhananjay Ashok|Gorokhov; Alexei|Ji; Tingfang|Khandekar; Aamod|Kadous; Tamer</t>
  </si>
  <si>
    <t>2016/08/02</t>
  </si>
  <si>
    <t>13/619,460</t>
  </si>
  <si>
    <t>2012/09/14</t>
  </si>
  <si>
    <t>2016/08/23</t>
  </si>
  <si>
    <t>H04L 27/26</t>
  </si>
  <si>
    <t>H04L27/2614</t>
  </si>
  <si>
    <t>11/261,361</t>
  </si>
  <si>
    <t>2016/10/04</t>
  </si>
  <si>
    <t>H04L27/2613</t>
  </si>
  <si>
    <t>11/083,708</t>
  </si>
  <si>
    <t>2016/12/13</t>
  </si>
  <si>
    <t>H04K</t>
  </si>
  <si>
    <t>H04K  1/10</t>
  </si>
  <si>
    <t>H04L5/0048</t>
  </si>
  <si>
    <t>CN200680020943.4</t>
  </si>
  <si>
    <t>用于自适应分区的信道质量报告</t>
  </si>
  <si>
    <t>高通股份有限公司</t>
  </si>
  <si>
    <t>达纳恩杰伊·阿肖克·戈尔|阿列克谢·戈罗霍夫|季庭方|阿莫德·卡恩德卡尔|塔梅尔·卡杜斯</t>
  </si>
  <si>
    <t>达纳恩杰伊·阿肖克·戈尔</t>
  </si>
  <si>
    <t>2006/04/19</t>
  </si>
  <si>
    <t>2012/10/17</t>
  </si>
  <si>
    <t>H04B  7/06</t>
  </si>
  <si>
    <t>9/840433</t>
  </si>
  <si>
    <t>Method for controlling outer loop power</t>
  </si>
  <si>
    <t>中兴通讯</t>
  </si>
  <si>
    <t>Yu, Yao|Zhang, Junfeng</t>
  </si>
  <si>
    <t>Yu, Yao</t>
  </si>
  <si>
    <t>2000/07/01</t>
  </si>
  <si>
    <t>2001/04/23</t>
  </si>
  <si>
    <t>2002/02/14</t>
  </si>
  <si>
    <t>申请</t>
  </si>
  <si>
    <t>10.37</t>
  </si>
  <si>
    <t>10/079,970</t>
  </si>
  <si>
    <t>Power control for partial channel-state information (CSI) multiple-input, multiple-output (MIMO) systems</t>
  </si>
  <si>
    <t>Medvedev; Irina|Walton; Jay R.|Ketchum; John W.</t>
  </si>
  <si>
    <t>Medvedev; Irina</t>
  </si>
  <si>
    <t>2002/02/19</t>
  </si>
  <si>
    <t>2006/07/11</t>
  </si>
  <si>
    <t>6.54</t>
  </si>
  <si>
    <t>11/049,319</t>
  </si>
  <si>
    <t>2005/02/01</t>
  </si>
  <si>
    <t>2007/05/22</t>
  </si>
  <si>
    <t>1.43</t>
  </si>
  <si>
    <t>11/750,938</t>
  </si>
  <si>
    <t>Power control avoiding outer loop wind-up</t>
  </si>
  <si>
    <t>Chi; Richard|Shiu; Da-Shan|Kasturi; Nitin|Subrahmanya; Parvathanathan</t>
  </si>
  <si>
    <t>Chi; Richard</t>
  </si>
  <si>
    <t>2002/02/04</t>
  </si>
  <si>
    <t>2007/05/18</t>
  </si>
  <si>
    <t>2010/06/08</t>
  </si>
  <si>
    <t>H04W52/228</t>
  </si>
  <si>
    <t>0.26</t>
  </si>
  <si>
    <t>11/264,950</t>
  </si>
  <si>
    <t>2005/11/01</t>
  </si>
  <si>
    <t>2011/06/21</t>
  </si>
  <si>
    <t>H04Q  7/20</t>
  </si>
  <si>
    <t>0.8</t>
  </si>
  <si>
    <t>10/610,446</t>
  </si>
  <si>
    <t>Pilots for MIMO communication system</t>
  </si>
  <si>
    <t>Ketchum; John W.|Wallace; Mark S.|Walton; J. Rodney|Howard; Steven J.</t>
  </si>
  <si>
    <t>Ketchum; John W.</t>
  </si>
  <si>
    <t>2002/10/25</t>
  </si>
  <si>
    <t>2003/06/30</t>
  </si>
  <si>
    <t>2011/07/26</t>
  </si>
  <si>
    <t>H04B7/0421</t>
  </si>
  <si>
    <t>2.30</t>
  </si>
  <si>
    <t>10/693,169</t>
  </si>
  <si>
    <t>Channel calibration for a time division duplexed communication system</t>
  </si>
  <si>
    <t>Wallace; Mark S.|Ketchum; John W.|Walton; J. Rodney|Howard; Steven J.</t>
  </si>
  <si>
    <t>Wallace; Mark S.</t>
  </si>
  <si>
    <t>2003/10/23</t>
  </si>
  <si>
    <t>2012/03/13</t>
  </si>
  <si>
    <t>15.39</t>
  </si>
  <si>
    <t>11/932,703</t>
  </si>
  <si>
    <t>Data detection and demodulation for wireless communication systems</t>
  </si>
  <si>
    <t>Walton; J. Rodney|Wallace; Mark S.</t>
  </si>
  <si>
    <t>Walton; J. Rodney</t>
  </si>
  <si>
    <t>2007/10/31</t>
  </si>
  <si>
    <t>2012/03/27</t>
  </si>
  <si>
    <t>H04B  7/08</t>
  </si>
  <si>
    <t>H04B7/0854</t>
  </si>
  <si>
    <t>0.3</t>
  </si>
  <si>
    <t>10/693,532</t>
  </si>
  <si>
    <t>Random access for wireless multiple-access communication systems</t>
  </si>
  <si>
    <t>Walton; J. Rodney|Ketchum; John W.|Wallace; Mark S.|Howard; Steven J.</t>
  </si>
  <si>
    <t>2012/05/01</t>
  </si>
  <si>
    <t>H04B7/0413</t>
  </si>
  <si>
    <t>1.45</t>
  </si>
  <si>
    <t>10/692,833</t>
  </si>
  <si>
    <t>H04B 17/00</t>
  </si>
  <si>
    <t>1.13</t>
  </si>
  <si>
    <t>10/229,209</t>
  </si>
  <si>
    <t>Coded MIMO systems with selective channel inversion applied per eigenmode</t>
  </si>
  <si>
    <t>Medvedev; Irina|Walton; Jay Rod|Ketchum; John W.</t>
  </si>
  <si>
    <t>2002/08/27</t>
  </si>
  <si>
    <t>2012/06/05</t>
  </si>
  <si>
    <t>8.13</t>
  </si>
  <si>
    <t>11/947,415</t>
  </si>
  <si>
    <t>Multi-mode terminal in a wireless MIMO system</t>
  </si>
  <si>
    <t>2007/11/29</t>
  </si>
  <si>
    <t>2012/06/19</t>
  </si>
  <si>
    <t>0.22</t>
  </si>
  <si>
    <t>10/693,429</t>
  </si>
  <si>
    <t>MIMO system with multiple spatial multiplexing modes</t>
  </si>
  <si>
    <t>2012/06/26</t>
  </si>
  <si>
    <t>6.7</t>
  </si>
  <si>
    <t>10/448,801</t>
  </si>
  <si>
    <t>Closed-loop rate control for a multi-channel communication system</t>
  </si>
  <si>
    <t>Walton; Jay Rodney|Wallace; Mark S.|Ketchum; John W.|Howard; Steven J.</t>
  </si>
  <si>
    <t>Walton; Jay Rodney</t>
  </si>
  <si>
    <t>2003/05/31</t>
  </si>
  <si>
    <t>2012/07/10</t>
  </si>
  <si>
    <t>0.77</t>
  </si>
  <si>
    <t>10/693,419</t>
  </si>
  <si>
    <t>MIMO WLAN system</t>
  </si>
  <si>
    <t>Walton; J. Rodney|Wallace; Mark S.|Ketchum; John W.|Howard; Steven J.</t>
  </si>
  <si>
    <t>2012/11/27</t>
  </si>
  <si>
    <t>H04B7/022</t>
  </si>
  <si>
    <t>17.87</t>
  </si>
  <si>
    <t>12/115,522</t>
  </si>
  <si>
    <t>2008/05/05</t>
  </si>
  <si>
    <t>2013/01/15</t>
  </si>
  <si>
    <t>0.38</t>
  </si>
  <si>
    <t>11/190,106</t>
  </si>
  <si>
    <t>Coding and modulation for multiple data streams in a communication system</t>
  </si>
  <si>
    <t>Walton; Jay Rodney|Medvedev; Irina</t>
  </si>
  <si>
    <t>2005/07/25</t>
  </si>
  <si>
    <t>2013/01/22</t>
  </si>
  <si>
    <t>H04L  1/02</t>
  </si>
  <si>
    <t>H04L1/0003</t>
  </si>
  <si>
    <t>12/142,121</t>
  </si>
  <si>
    <t>Methods and apparatuses for power control</t>
  </si>
  <si>
    <t>Damnjanovic; Aleksandar</t>
  </si>
  <si>
    <t>2007/06/20</t>
  </si>
  <si>
    <t>2008/06/19</t>
  </si>
  <si>
    <t>G08C</t>
  </si>
  <si>
    <t>G08C 17/00</t>
  </si>
  <si>
    <t>H04W52/146</t>
  </si>
  <si>
    <t>2.53</t>
  </si>
  <si>
    <t>12/112,816</t>
  </si>
  <si>
    <t>2008/07/15</t>
  </si>
  <si>
    <t>H04J  1/16</t>
  </si>
  <si>
    <t>0.98</t>
  </si>
  <si>
    <t>12/115,523</t>
  </si>
  <si>
    <t>2013/07/09</t>
  </si>
  <si>
    <t>H04J  3/00</t>
  </si>
  <si>
    <t>0.29</t>
  </si>
  <si>
    <t>11/045,781</t>
  </si>
  <si>
    <t>2005/01/27</t>
  </si>
  <si>
    <t>2013/10/29</t>
  </si>
  <si>
    <t>0.53</t>
  </si>
  <si>
    <t>13/353,924</t>
  </si>
  <si>
    <t>Walton; Jay Rodney|Ketchum; John W.|Wallace; Mark S.|Howard; Steven J.</t>
  </si>
  <si>
    <t>2012/01/19</t>
  </si>
  <si>
    <t>2014/04/29</t>
  </si>
  <si>
    <t>13/419,245</t>
  </si>
  <si>
    <t>Wallace; Mark S.|Ketchum; John W.|Walton; Jay Rodney|Howard; Steven J.</t>
  </si>
  <si>
    <t>2014/06/10</t>
  </si>
  <si>
    <t>12/270,842</t>
  </si>
  <si>
    <t>Rate selection with margin sharing</t>
  </si>
  <si>
    <t>Medvedev; Irina|Walton; J. Rodney</t>
  </si>
  <si>
    <t>2005/05/12</t>
  </si>
  <si>
    <t>2008/11/13</t>
  </si>
  <si>
    <t>2014/10/07</t>
  </si>
  <si>
    <t>12/490,993</t>
  </si>
  <si>
    <t>Transmit diversity processing for a multi-antenna communication system</t>
  </si>
  <si>
    <t>2009/06/24</t>
  </si>
  <si>
    <t>2014/10/28</t>
  </si>
  <si>
    <t>H04B7/0669</t>
  </si>
  <si>
    <t>12/112,728</t>
  </si>
  <si>
    <t>2008/04/30</t>
  </si>
  <si>
    <t>2014/12/16</t>
  </si>
  <si>
    <t>11/250,353</t>
  </si>
  <si>
    <t>2005/10/13</t>
  </si>
  <si>
    <t>2015/01/13</t>
  </si>
  <si>
    <t>14/458,933</t>
  </si>
  <si>
    <t>2014/08/13</t>
  </si>
  <si>
    <t>2015/04/21</t>
  </si>
  <si>
    <t>12/649,040</t>
  </si>
  <si>
    <t>2009/12/29</t>
  </si>
  <si>
    <t>2015/05/12</t>
  </si>
  <si>
    <t>13/857,025</t>
  </si>
  <si>
    <t>2013/04/04</t>
  </si>
  <si>
    <t>2015/06/02</t>
  </si>
  <si>
    <t>H04B  7/04</t>
  </si>
  <si>
    <t>13/920,971</t>
  </si>
  <si>
    <t>OFDM communication system with multiple OFDM symbol sizes</t>
  </si>
  <si>
    <t>Walton; Jay Rod|Ketchum; John W.|Wallace; Mark|Howard; Steven J.</t>
  </si>
  <si>
    <t>Walton; Jay Rod</t>
  </si>
  <si>
    <t>2013/06/18</t>
  </si>
  <si>
    <t>H04L5/0007</t>
  </si>
  <si>
    <t>13/898,269</t>
  </si>
  <si>
    <t>Methods and apparatuses for power control in wireless communications</t>
  </si>
  <si>
    <t>2013/05/20</t>
  </si>
  <si>
    <t>H04W 52/02</t>
  </si>
  <si>
    <t>H04W52/34</t>
  </si>
  <si>
    <t>12/112,789</t>
  </si>
  <si>
    <t>13/155,916</t>
  </si>
  <si>
    <t>Pilots for MIMO communication systems</t>
  </si>
  <si>
    <t>2011/06/08</t>
  </si>
  <si>
    <t>2016/04/12</t>
  </si>
  <si>
    <t>0.7</t>
  </si>
  <si>
    <t>10/725,904</t>
  </si>
  <si>
    <t>Method and apparatus for providing an efficient control channel structure in a wireless communication system</t>
  </si>
  <si>
    <t>Walton; J. Rodney|Ketchum; John W.</t>
  </si>
  <si>
    <t>2003/12/01</t>
  </si>
  <si>
    <t>2016/10/18</t>
  </si>
  <si>
    <t>H04W 28/18</t>
  </si>
  <si>
    <t>H04L1/06</t>
  </si>
  <si>
    <t>CN038083779</t>
  </si>
  <si>
    <t>部分信道状态信息(CSI)多输入、多输出(MIMO)系统的功率控制</t>
  </si>
  <si>
    <t>I·梅德弗德夫|J·R·沃尔顿|J·W·凯淳</t>
  </si>
  <si>
    <t>I·梅德弗德夫</t>
  </si>
  <si>
    <t>2003/02/19</t>
  </si>
  <si>
    <t>2008/12/31</t>
  </si>
  <si>
    <t>H04B  7/005</t>
  </si>
  <si>
    <t>CN200910221587.8</t>
  </si>
  <si>
    <t>一种接入视频服务的方法及视频播放系统</t>
  </si>
  <si>
    <t>朱兴昌|徐火顺</t>
  </si>
  <si>
    <t>朱兴昌</t>
  </si>
  <si>
    <t>2009/11/24</t>
  </si>
  <si>
    <t>2010/06/09</t>
  </si>
  <si>
    <t>H04N</t>
  </si>
  <si>
    <t>H04N  7/173</t>
  </si>
  <si>
    <t>2.36</t>
  </si>
  <si>
    <t>驳回</t>
  </si>
  <si>
    <t>13/205,574</t>
  </si>
  <si>
    <t>Manifest file updates for network streaming of coded multimedia data</t>
  </si>
  <si>
    <t>Chen; Ying|Stockhammer; Thomas|Watson; Mark</t>
  </si>
  <si>
    <t>Chen; Ying</t>
  </si>
  <si>
    <t>2010/08/10</t>
  </si>
  <si>
    <t>2011/08/08</t>
  </si>
  <si>
    <t>2014/08/12</t>
  </si>
  <si>
    <t>G06F</t>
  </si>
  <si>
    <t>G06F 15/16</t>
  </si>
  <si>
    <t>H04L65/604</t>
  </si>
  <si>
    <t>12/252,331</t>
  </si>
  <si>
    <t>Error-correcting multi-stage code generator and decoder for communication systems having single transmitters or multiple transmitters</t>
  </si>
  <si>
    <t>Shokrollahi; M. Amin</t>
  </si>
  <si>
    <t>2003/10/06</t>
  </si>
  <si>
    <t>2008/10/15</t>
  </si>
  <si>
    <t>H03M 13/00</t>
  </si>
  <si>
    <t>H03M13/3761</t>
  </si>
  <si>
    <t>0.35</t>
  </si>
  <si>
    <t>13/031,067</t>
  </si>
  <si>
    <t>Video switching for streaming video data</t>
  </si>
  <si>
    <t>Chen; Ying|Karczewicz; Marta</t>
  </si>
  <si>
    <t>2010/07/13</t>
  </si>
  <si>
    <t>2011/02/18</t>
  </si>
  <si>
    <t>H04N21/23439</t>
  </si>
  <si>
    <t>0.36</t>
  </si>
  <si>
    <t>13/025,925</t>
  </si>
  <si>
    <t>Framing for an improved radio link protocol including FEC</t>
  </si>
  <si>
    <t>Watson; Mark|Rezaiifar; Ramin|Vicisano; Lorenzo</t>
  </si>
  <si>
    <t>Watson; Mark</t>
  </si>
  <si>
    <t>2011/02/11</t>
  </si>
  <si>
    <t>2015/02/17</t>
  </si>
  <si>
    <t>H04L1/0083</t>
  </si>
  <si>
    <t>0.11</t>
  </si>
  <si>
    <t>12/197,993</t>
  </si>
  <si>
    <t>File download and streaming system</t>
  </si>
  <si>
    <t>Luby; Michael G.|Shokrollahi; M. Amin|Watson; Mark</t>
  </si>
  <si>
    <t>Luby; Michael G.</t>
  </si>
  <si>
    <t>2004/05/07</t>
  </si>
  <si>
    <t>2008/08/25</t>
  </si>
  <si>
    <t>G06F 11/00</t>
  </si>
  <si>
    <t>H03M13/29</t>
  </si>
  <si>
    <t>11/674,625</t>
  </si>
  <si>
    <t>Streaming and buffering using variable FEC overhead and protection periods</t>
  </si>
  <si>
    <t>Watson; Mark|Luby; Michael G.</t>
  </si>
  <si>
    <t>2006/02/13</t>
  </si>
  <si>
    <t>2007/02/13</t>
  </si>
  <si>
    <t>12/103,605</t>
  </si>
  <si>
    <t>Dynamic stream interleaving and sub-stream based delivery</t>
  </si>
  <si>
    <t>Luby; Michael G.|Pakzad; Payam|Watson; Mark|Vicisano; Lorenzo|Clish; Jourdan J.</t>
  </si>
  <si>
    <t>2007/04/16</t>
  </si>
  <si>
    <t>2008/04/15</t>
  </si>
  <si>
    <t>H03M13/27</t>
  </si>
  <si>
    <t>12/986,028</t>
  </si>
  <si>
    <t>Signaling data for multiplexing video components</t>
  </si>
  <si>
    <t>Chen; Ying|Karczewicz; Marta|Wang; Yong</t>
  </si>
  <si>
    <t>2010/07/15</t>
  </si>
  <si>
    <t>2011/01/06</t>
  </si>
  <si>
    <t>H04N21/235</t>
  </si>
  <si>
    <t>0.51</t>
  </si>
  <si>
    <t>14/245,826</t>
  </si>
  <si>
    <t>Enhanced block-request streaming using cooperative parallel HTTP and forward error correction</t>
  </si>
  <si>
    <t>Luby; Michael G.|Wang; Bin|Watson; Mark|Vicisano; Lorenzo|Pakzad; Payam</t>
  </si>
  <si>
    <t>2009/09/22</t>
  </si>
  <si>
    <t>2014/04/04</t>
  </si>
  <si>
    <t>2015/11/17</t>
  </si>
  <si>
    <t>H04L  1/00</t>
  </si>
  <si>
    <t>H04L1/004</t>
  </si>
  <si>
    <t>12/887,495</t>
  </si>
  <si>
    <t>2010/09/21</t>
  </si>
  <si>
    <t>12/418,378</t>
  </si>
  <si>
    <t>Systematic encoding and decoding of chain reaction codes</t>
  </si>
  <si>
    <t>Shokrollahi; Mohammad Amin|Luby; Michael G.</t>
  </si>
  <si>
    <t>Shokrollahi; Mohammad Amin</t>
  </si>
  <si>
    <t>2002/10/05</t>
  </si>
  <si>
    <t>2009/04/03</t>
  </si>
  <si>
    <t>2016/01/12</t>
  </si>
  <si>
    <t>H03M  7/00</t>
  </si>
  <si>
    <t>H03M13/1102</t>
  </si>
  <si>
    <t>13/408,944</t>
  </si>
  <si>
    <t>2012/02/29</t>
  </si>
  <si>
    <t>12/781,192</t>
  </si>
  <si>
    <t>Multi stage code generator and decoder for communication systems</t>
  </si>
  <si>
    <t>Shokrollahi; M. Amin|Lassen; Soren|Luby; Michael G.</t>
  </si>
  <si>
    <t>2001/12/21</t>
  </si>
  <si>
    <t>2010/05/17</t>
  </si>
  <si>
    <t>H04K  1/02</t>
  </si>
  <si>
    <t>H04L1/0041</t>
  </si>
  <si>
    <t>12/210,024</t>
  </si>
  <si>
    <t>Generating and communicating source identification information to enable reliable communications</t>
  </si>
  <si>
    <t>Chen; Steve|Luby; Michael G.|Prasad; Manu|Seed; William|Stockhammer; Thomas</t>
  </si>
  <si>
    <t>Chen; Steve</t>
  </si>
  <si>
    <t>2007/09/12</t>
  </si>
  <si>
    <t>2008/09/12</t>
  </si>
  <si>
    <t>H04L47/10</t>
  </si>
  <si>
    <t>12/549,560</t>
  </si>
  <si>
    <t>Systems and processes for decoding chain reaction codes through inactivation</t>
  </si>
  <si>
    <t>Shokrollahi; Amin|Lassen; Soren|Karp; Richard</t>
  </si>
  <si>
    <t>Shokrollahi; Amin</t>
  </si>
  <si>
    <t>2002/06/11</t>
  </si>
  <si>
    <t>2009/08/28</t>
  </si>
  <si>
    <t>H03M  5/00</t>
  </si>
  <si>
    <t>11/738,866</t>
  </si>
  <si>
    <t>Information additive code generator and decoder for communication systems</t>
  </si>
  <si>
    <t>1998/09/23</t>
  </si>
  <si>
    <t>2007/04/23</t>
  </si>
  <si>
    <t>H04L1/0057</t>
  </si>
  <si>
    <t>13/545,697</t>
  </si>
  <si>
    <t>Switch signaling methods providing improved switching between representations for adaptive HTTP streaming</t>
  </si>
  <si>
    <t>Luby; Michael George|Minder; Lorenz Christoph</t>
  </si>
  <si>
    <t>Luby; Michael George</t>
  </si>
  <si>
    <t>2011/08/31</t>
  </si>
  <si>
    <t>2016/02/02</t>
  </si>
  <si>
    <t>H04L65/60</t>
  </si>
  <si>
    <t>13/170,028</t>
  </si>
  <si>
    <t>Code generator and decoder for communications systems operating using hybrid codes to allow for multiple efficient uses of the communications systems</t>
  </si>
  <si>
    <t>2011/06/27</t>
  </si>
  <si>
    <t>2016/02/16</t>
  </si>
  <si>
    <t>H03M13/03</t>
  </si>
  <si>
    <t>13/025,900</t>
  </si>
  <si>
    <t>Encoding and decoding using elastic codes with flexible source block mapping</t>
  </si>
  <si>
    <t>Luby; Michael G.|Pakzad; Payam|Shokrollahi; Mohammad Amin|Watson; Mark|Vicisano; Lorenzo</t>
  </si>
  <si>
    <t>2016/02/23</t>
  </si>
  <si>
    <t>0.9</t>
  </si>
  <si>
    <t>11/674,655</t>
  </si>
  <si>
    <t>Multiple-field based code generator and decoder for communications systems</t>
  </si>
  <si>
    <t>Shokrollahi; M. Amin|Luby; Michael G.|Watson; Mark|Minder; Lorenz</t>
  </si>
  <si>
    <t>2006/02/21</t>
  </si>
  <si>
    <t>H03D</t>
  </si>
  <si>
    <t>H03D  1/00</t>
  </si>
  <si>
    <t>12/714,268</t>
  </si>
  <si>
    <t>Mobile reception of digital video broadcasting—terrestrial services</t>
  </si>
  <si>
    <t>Stockhammer; Thomas|Gómez-Barquero; David|Gozalvez Serrano; David</t>
  </si>
  <si>
    <t>Stockhammer; Thomas</t>
  </si>
  <si>
    <t>2009/02/27</t>
  </si>
  <si>
    <t>2010/02/26</t>
  </si>
  <si>
    <t>2016/03/08</t>
  </si>
  <si>
    <t>H03M 13/05</t>
  </si>
  <si>
    <t>13/041,085</t>
  </si>
  <si>
    <t>Universal file delivery methods for providing unequal error protection and bundled file delivery services</t>
  </si>
  <si>
    <t>2010/10/22</t>
  </si>
  <si>
    <t>2011/03/04</t>
  </si>
  <si>
    <t>2016/03/15</t>
  </si>
  <si>
    <t>H04L1/0056</t>
  </si>
  <si>
    <t>13/753,442</t>
  </si>
  <si>
    <t>Universal object delivery and template-based file delivery</t>
  </si>
  <si>
    <t>Luby; Michael George|Fall; Kevin Roland|Stockhammer; Thomas</t>
  </si>
  <si>
    <t>2012/03/26</t>
  </si>
  <si>
    <t>2013/01/29</t>
  </si>
  <si>
    <t>2016/03/22</t>
  </si>
  <si>
    <t>13/205,565</t>
  </si>
  <si>
    <t>Trick modes for network streaming of coded multimedia data</t>
  </si>
  <si>
    <t>2016/04/19</t>
  </si>
  <si>
    <t>13/456,474</t>
  </si>
  <si>
    <t>Enhanced block-request streaming system for handling low-latency streaming</t>
  </si>
  <si>
    <t>Luby; Michael G.|Watson; Mark|Vicisano; Lorenzo|Pakzad; Payam|Wang; Bin|Chen; Ying|Stockhammer; Thomas|Borran; Jaber Mohammad</t>
  </si>
  <si>
    <t>2012/04/26</t>
  </si>
  <si>
    <t>2016/06/28</t>
  </si>
  <si>
    <t>12/887,492</t>
  </si>
  <si>
    <t>Enhanced block-request streaming using URL templates and construction rules</t>
  </si>
  <si>
    <t>Luby; Michael G.|Watson; Mark|Vicisano; Lorenzo|Pakzad; Payam|Wang; Bin|Stockhammer; Thomas</t>
  </si>
  <si>
    <t>2016/07/05</t>
  </si>
  <si>
    <t>12/859,161</t>
  </si>
  <si>
    <t>Methods and apparatus employing FEC codes with permanent inactivation of symbols for encoding and decoding processes</t>
  </si>
  <si>
    <t>Luby; Michael G.|Shokrollahi; Mohammad Amin|Minder; Lorenz Christoph</t>
  </si>
  <si>
    <t>2009/08/19</t>
  </si>
  <si>
    <t>2010/08/18</t>
  </si>
  <si>
    <t>2016/08/16</t>
  </si>
  <si>
    <t>12/887,476</t>
  </si>
  <si>
    <t>Enhanced block-request streaming system using signaling or block creation</t>
  </si>
  <si>
    <t>Luby; Michael G.|Watson; Mark|Vicisano; Lorenzo|Pakzad; Payam|Wang; Bin|Chen; Ying|Stockhammer; Thomas</t>
  </si>
  <si>
    <t>2016/08/30</t>
  </si>
  <si>
    <t>13/205,559</t>
  </si>
  <si>
    <t>Representation groups for network streaming of coded multimedia data</t>
  </si>
  <si>
    <t>2016/09/27</t>
  </si>
  <si>
    <t>H04L 29/06</t>
  </si>
  <si>
    <t>12/908,593</t>
  </si>
  <si>
    <t>Signaling video samples for trick mode video representations</t>
  </si>
  <si>
    <t>2010/06/29</t>
  </si>
  <si>
    <t>2010/10/20</t>
  </si>
  <si>
    <t>2016/11/01</t>
  </si>
  <si>
    <t>H04N  7/32</t>
  </si>
  <si>
    <t>H04N21/8455</t>
  </si>
  <si>
    <t>13/082,051</t>
  </si>
  <si>
    <t>Providing frame packing type information for video coding</t>
  </si>
  <si>
    <t>2010/07/21</t>
  </si>
  <si>
    <t>2011/04/07</t>
  </si>
  <si>
    <t>2017/03/14</t>
  </si>
  <si>
    <t>H04N  7/12</t>
  </si>
  <si>
    <t>H04N13/0048</t>
  </si>
  <si>
    <t>14/019,944</t>
  </si>
  <si>
    <t>2013/09/06</t>
  </si>
  <si>
    <t>2017/03/21</t>
  </si>
  <si>
    <t>14/878,694</t>
  </si>
  <si>
    <t>Luby; Michael|Wang; Bin|Watson; Mark|Vicisano; Lorenzo|Pakzad; Payam</t>
  </si>
  <si>
    <t>Luby; Michael</t>
  </si>
  <si>
    <t>2015/10/08</t>
  </si>
  <si>
    <t>2017/04/18</t>
  </si>
  <si>
    <t>H04L65/607</t>
  </si>
  <si>
    <t>CN200310113510.1</t>
  </si>
  <si>
    <t>一种网管系统中实现对前台数据配置的方法</t>
  </si>
  <si>
    <t>刘兵|张燕|蒋贤忠</t>
  </si>
  <si>
    <t>刘兵</t>
  </si>
  <si>
    <t>2003/11/13</t>
  </si>
  <si>
    <t>2004/11/10</t>
  </si>
  <si>
    <t>H04L 12/24</t>
  </si>
  <si>
    <t>G06F17/30B</t>
  </si>
  <si>
    <t>5.42</t>
  </si>
  <si>
    <t>无效</t>
  </si>
  <si>
    <t>11/333,790</t>
  </si>
  <si>
    <t>Methods and apparatus for communicating transmission backlog information</t>
  </si>
  <si>
    <t>Das; Arnab|Laroia; Rajiv|Li; Junyi</t>
  </si>
  <si>
    <t>Das; Arnab</t>
  </si>
  <si>
    <t>2005/12/22</t>
  </si>
  <si>
    <t>2006/01/17</t>
  </si>
  <si>
    <t>2013/05/07</t>
  </si>
  <si>
    <t>H04L 12/26</t>
  </si>
  <si>
    <t>H04W72/1284</t>
  </si>
  <si>
    <t>11/487,017</t>
  </si>
  <si>
    <t>Methods and apparatus for determining, communicating and using information including loading factors which can be used for interference control purposes</t>
  </si>
  <si>
    <t>Laroia; Rajiv|Li; Junyi|Rangan; Sundeep|Srinivasan; Murari|Hande; Prashanth|Das; Arnab</t>
  </si>
  <si>
    <t>2005/10/14</t>
  </si>
  <si>
    <t>2006/07/14</t>
  </si>
  <si>
    <t>2013/08/06</t>
  </si>
  <si>
    <t>H04B 15/00</t>
  </si>
  <si>
    <t>H04W24/08</t>
  </si>
  <si>
    <t>1.77</t>
  </si>
  <si>
    <t>11/251,069</t>
  </si>
  <si>
    <t>Methods and apparatus for determining, communicating and using information which can be used for interference control purposes</t>
  </si>
  <si>
    <t>Laroia; Rajiv|Li; Junyi|Rangan; Sundeep|Srinivasan; Murari|Hande; Prashanth</t>
  </si>
  <si>
    <t>2004/10/14</t>
  </si>
  <si>
    <t>2013/08/20</t>
  </si>
  <si>
    <t>H04B1/7097</t>
  </si>
  <si>
    <t>9.27</t>
  </si>
  <si>
    <t>11/333,771</t>
  </si>
  <si>
    <t>Methods and apparatus for communicating and/or using transmission power information</t>
  </si>
  <si>
    <t>Das; Arnab|Rangan; Sundeep</t>
  </si>
  <si>
    <t>H04B  7/185</t>
  </si>
  <si>
    <t>H04W52/16</t>
  </si>
  <si>
    <t>2.20</t>
  </si>
  <si>
    <t>11/549,611</t>
  </si>
  <si>
    <t>Method and apparatus for determining a base station's transmission power budget</t>
  </si>
  <si>
    <t>Li; Junyi|Wu; Xinzhou|Das; Arnab</t>
  </si>
  <si>
    <t>Li; Junyi</t>
  </si>
  <si>
    <t>2006/10/13</t>
  </si>
  <si>
    <t>H04W 52/36</t>
  </si>
  <si>
    <t>H04W16/06</t>
  </si>
  <si>
    <t>11/333,788</t>
  </si>
  <si>
    <t>Methods and apparatus for generating, communicating, and/or using information relating to self-noise</t>
  </si>
  <si>
    <t>Rangan; Sundeep|Laroia; Rajiv|Das; Arnab|Li; Junyi|Fan; John</t>
  </si>
  <si>
    <t>Rangan; Sundeep</t>
  </si>
  <si>
    <t>2014/08/19</t>
  </si>
  <si>
    <t>H04W24/10</t>
  </si>
  <si>
    <t>13/616,644</t>
  </si>
  <si>
    <t>13/041,251</t>
  </si>
  <si>
    <t>Locating a wireless local area network associated with a wireless wide area network</t>
  </si>
  <si>
    <t>Edge; Stephen W.</t>
  </si>
  <si>
    <t>2006/04/12</t>
  </si>
  <si>
    <t>2015/02/24</t>
  </si>
  <si>
    <t>H04W 24/00</t>
  </si>
  <si>
    <t>H04W48/16</t>
  </si>
  <si>
    <t>11/549,604</t>
  </si>
  <si>
    <t>Methods and apparatus for broadcasting loading information corresponding to neighboring base stations</t>
  </si>
  <si>
    <t>Hande; Prashanth|Das; Arnab|Li; Junyi|Rangan; Sundeep|Laroia; Rajiv</t>
  </si>
  <si>
    <t>Hande; Prashanth</t>
  </si>
  <si>
    <t>2015/03/24</t>
  </si>
  <si>
    <t>11/487,051</t>
  </si>
  <si>
    <t>Methods and apparatus for reporting and/or using control information</t>
  </si>
  <si>
    <t>Das; Arnab|Anigstein; Pablo|Srinivasan; Murari|Li; Junyi</t>
  </si>
  <si>
    <t>2015/09/01</t>
  </si>
  <si>
    <t>11/581,212</t>
  </si>
  <si>
    <t>Methods and apparatus related to custom control channel reporting formats</t>
  </si>
  <si>
    <t>Li; Junyi|Anigstein; Pablo Alejandro|Das; Arnab</t>
  </si>
  <si>
    <t>11/486,895</t>
  </si>
  <si>
    <t>Methods and apparatus for communicating control information</t>
  </si>
  <si>
    <t>Richardson; Tom|Jin; Hui|Li; Junyi|Parizhisky; Vladimir</t>
  </si>
  <si>
    <t>Richardson; Tom</t>
  </si>
  <si>
    <t>H04L27/2602</t>
  </si>
  <si>
    <t>11/333,813</t>
  </si>
  <si>
    <t>Methods and apparatus for flexible reporting of control information</t>
  </si>
  <si>
    <t>H04W 68/00</t>
  </si>
  <si>
    <t>H04W24/00</t>
  </si>
  <si>
    <t>13/654,360</t>
  </si>
  <si>
    <t>2015/10/13</t>
  </si>
  <si>
    <t>H04W 52/14</t>
  </si>
  <si>
    <t>11/486,714</t>
  </si>
  <si>
    <t>Methods and apparatus for determining, communicating and using information which can be used for interference control</t>
  </si>
  <si>
    <t>Laroia; Rajiv|Li; Junyi|Rangan; Sundeep|Srinivasan; Murari|Hande; Prashanth|Corson; M. Scott|Das; Arnab</t>
  </si>
  <si>
    <t>H04W 24/08</t>
  </si>
  <si>
    <t>11/333,792</t>
  </si>
  <si>
    <t>Methods and apparatus of implementing and/or using a dedicated control channel</t>
  </si>
  <si>
    <t>Parizhsky; Vladimir|Laroia; Rajiv|Li; Junyi|Uppala; Sathyadev Venkata|Das; Arnab</t>
  </si>
  <si>
    <t>Parizhsky; Vladimir</t>
  </si>
  <si>
    <t>2016/05/10</t>
  </si>
  <si>
    <t>H04W72/0413</t>
  </si>
  <si>
    <t>12/778,270</t>
  </si>
  <si>
    <t>Das; Arnab|Rangan; Sundeep|Anigstein; Pablo Alejandro|Srinivasan; Murari</t>
  </si>
  <si>
    <t>2010/05/12</t>
  </si>
  <si>
    <t>11/333,814</t>
  </si>
  <si>
    <t>Methods and apparatus relating to generating and transmitting initial and additional control information report sets in a wireless system</t>
  </si>
  <si>
    <t>Das; Arnab|Anigstein; Pabio Alejandro</t>
  </si>
  <si>
    <t>2016/09/20</t>
  </si>
  <si>
    <t>11/609,627</t>
  </si>
  <si>
    <t>Methods and apparatus related to selecting a request group for a request report</t>
  </si>
  <si>
    <t>Das; Arnab|Celebi; Samel|Hussain; Yunus</t>
  </si>
  <si>
    <t>2006/12/12</t>
  </si>
  <si>
    <t>11/486,896</t>
  </si>
  <si>
    <t>Methods and apparatus for communicating information utilizing a plurality of dictionaries</t>
  </si>
  <si>
    <t>H04L1/0045</t>
  </si>
  <si>
    <t>10/648,767</t>
  </si>
  <si>
    <t>Pilot signals for use in multi-sector cells</t>
  </si>
  <si>
    <t>Laroia; Rajiv|Fan; John L.|Li; Junyi</t>
  </si>
  <si>
    <t>2003/02/24</t>
  </si>
  <si>
    <t>2003/08/25</t>
  </si>
  <si>
    <t>2017/01/10</t>
  </si>
  <si>
    <t>H04W 52/04</t>
  </si>
  <si>
    <t>H04W52/325</t>
  </si>
  <si>
    <t>11/487,054</t>
  </si>
  <si>
    <t>Das; Arnab|Rangan; Sundeep|Anigstein; Pablo|Srinivasan; Murari</t>
  </si>
  <si>
    <t>2017/02/14</t>
  </si>
  <si>
    <t>11/610,060</t>
  </si>
  <si>
    <t>Methods and apparatus related to selecting reporting alternative in a request report</t>
  </si>
  <si>
    <t>Das; Arnab|Park; Vincent|Hussain; Yunus|Celebi; Samel</t>
  </si>
  <si>
    <t>2006/12/13</t>
  </si>
  <si>
    <t>2017/02/21</t>
  </si>
  <si>
    <t>11/748,433</t>
  </si>
  <si>
    <t>Method of transmitting pilot tones in a multi-sector cell, including null pilot tones, for generating channel quality indicators</t>
  </si>
  <si>
    <t>2007/05/14</t>
  </si>
  <si>
    <t>H04B 17/02</t>
  </si>
  <si>
    <t>H04W52/24</t>
  </si>
  <si>
    <t>US2008/082906</t>
  </si>
  <si>
    <t>Flexible ofdm/ofdma frame structure for communication systems</t>
  </si>
  <si>
    <t>中兴通讯|CAI,Sean|CHOW,Jerry|HONGYUN,Qu|HUIYING,Fang</t>
  </si>
  <si>
    <t>中兴通讯|cai sean|chow jerry|hongyun qu|huiying fang</t>
  </si>
  <si>
    <t>CAI,Sean|CHOW,Jerry|HONGYUN,Qu|HUIYING,Fang</t>
  </si>
  <si>
    <t>CAI,Sean</t>
  </si>
  <si>
    <t>2007/11/09</t>
  </si>
  <si>
    <t>2008/11/07</t>
  </si>
  <si>
    <t>2009/05/14</t>
  </si>
  <si>
    <t>18.6</t>
  </si>
  <si>
    <t>13/032,808</t>
  </si>
  <si>
    <t>Dynamic feedback-controlled output driver with minimum slew rate variation from process, temperature and supply</t>
  </si>
  <si>
    <t>Chen; Wilson J.|Tan; Chiew-Guan</t>
  </si>
  <si>
    <t>Chen; Wilson J.</t>
  </si>
  <si>
    <t>2011/02/23</t>
  </si>
  <si>
    <t>2014/01/28</t>
  </si>
  <si>
    <t>H03K</t>
  </si>
  <si>
    <t>H03K  3/00</t>
  </si>
  <si>
    <t>H03K17/163</t>
  </si>
  <si>
    <t>0.33</t>
  </si>
  <si>
    <t>12/860,747</t>
  </si>
  <si>
    <t>Method and apparatus that facilitates detecting system information blocks in a heterogeneous network</t>
  </si>
  <si>
    <t>Yoo; Taesang|Luo; Tao|Seong; Kibeom</t>
  </si>
  <si>
    <t>Yoo; Taesang</t>
  </si>
  <si>
    <t>2009/08/24</t>
  </si>
  <si>
    <t>2010/08/20</t>
  </si>
  <si>
    <t>2014/05/13</t>
  </si>
  <si>
    <t>H04L1/0038</t>
  </si>
  <si>
    <t>1.18</t>
  </si>
  <si>
    <t>13/267,735</t>
  </si>
  <si>
    <t>Method and apparatus for measuring cells in the presence of interference</t>
  </si>
  <si>
    <t>Damnjanovic; Aleksandar|Tenny; Nathan Edward</t>
  </si>
  <si>
    <t>2010/10/08</t>
  </si>
  <si>
    <t>2011/10/06</t>
  </si>
  <si>
    <t>H04W 36/30</t>
  </si>
  <si>
    <t>0.56</t>
  </si>
  <si>
    <t>12/882,090</t>
  </si>
  <si>
    <t>Methods and apparatus for subframe interlacing in heterogeneous networks</t>
  </si>
  <si>
    <t>Damnjanovic; Aleksandar|Wei; Yongbin|Barany; Peter A.</t>
  </si>
  <si>
    <t>2009/09/15</t>
  </si>
  <si>
    <t>2010/09/14</t>
  </si>
  <si>
    <t>2015/01/27</t>
  </si>
  <si>
    <t>H04W16/10</t>
  </si>
  <si>
    <t>1.30</t>
  </si>
  <si>
    <t>12/792,411</t>
  </si>
  <si>
    <t>Systems, apparatus and methods for communicating downlink information</t>
  </si>
  <si>
    <t>Luo; Tao|Wei; Yongbin|Malladi; Durga Prasad</t>
  </si>
  <si>
    <t>Luo; Tao</t>
  </si>
  <si>
    <t>2009/06/10</t>
  </si>
  <si>
    <t>2010/06/02</t>
  </si>
  <si>
    <t>2015/08/11</t>
  </si>
  <si>
    <t>13/085,151</t>
  </si>
  <si>
    <t>Heterogeneous network (HetNet) user equipment (UE) radio resource management (RRM) measurements</t>
  </si>
  <si>
    <t>Ji; Tingfang|Song; Osok|Damnjanovic; Aleksandar|Gaal; Peter|Luo; Tao|Malladi; Durga Prasad</t>
  </si>
  <si>
    <t>2010/04/13</t>
  </si>
  <si>
    <t>2011/04/12</t>
  </si>
  <si>
    <t>0.17</t>
  </si>
  <si>
    <t>12/853,168</t>
  </si>
  <si>
    <t>Interference mitigation by puncturing transmission of interfering cells</t>
  </si>
  <si>
    <t>Seong; Kibeom|Luo; Tao|Yoo; Taesang|Zhang; Xiaoxia|Doan; Dung Ngoc</t>
  </si>
  <si>
    <t>Seong; Kibeom</t>
  </si>
  <si>
    <t>2009/08/11</t>
  </si>
  <si>
    <t>2010/08/09</t>
  </si>
  <si>
    <t>H04W52/322</t>
  </si>
  <si>
    <t>13/085,080</t>
  </si>
  <si>
    <t>Method and apparatus for supporting communications in a heterogeneous network</t>
  </si>
  <si>
    <t>Barbieri; Alan|Ji; Tingfang|Luo; Tao|Vajapeyam; Madhavan Srinivasan|Song; Osok|Damnjanovic; Aleksandar|Wei; Yongbin|Agashe; Parag Arun|Malladi; Durga Prasad</t>
  </si>
  <si>
    <t>Barbieri; Alan</t>
  </si>
  <si>
    <t>H04W72/0426</t>
  </si>
  <si>
    <t>12/903,995</t>
  </si>
  <si>
    <t>Downlink and uplink resource element mapping for carrier extension</t>
  </si>
  <si>
    <t>Montojo; Juan|Chen; Wanshi</t>
  </si>
  <si>
    <t>Montojo; Juan</t>
  </si>
  <si>
    <t>2009/10/15</t>
  </si>
  <si>
    <t>2010/10/13</t>
  </si>
  <si>
    <t>H04W72/06</t>
  </si>
  <si>
    <t>13/083,447</t>
  </si>
  <si>
    <t>Determination of radio link failure with enhanced interference coordination and cancellation</t>
  </si>
  <si>
    <t>Song; Osok|Damnjanovic; Aleksandar|Ji; Tingfang</t>
  </si>
  <si>
    <t>Song; Osok</t>
  </si>
  <si>
    <t>2011/04/08</t>
  </si>
  <si>
    <t>H04W24/02</t>
  </si>
  <si>
    <t>12/879,731</t>
  </si>
  <si>
    <t>Cross-subframe control channel design</t>
  </si>
  <si>
    <t>Wei; Yongbin|Malladi; Durga Prasad|Luo; Tao</t>
  </si>
  <si>
    <t>Wei; Yongbin</t>
  </si>
  <si>
    <t>2009/09/14</t>
  </si>
  <si>
    <t>2010/09/10</t>
  </si>
  <si>
    <t>2016/03/01</t>
  </si>
  <si>
    <t>H04W72/1289</t>
  </si>
  <si>
    <t>14/169,142</t>
  </si>
  <si>
    <t>2014/01/30</t>
  </si>
  <si>
    <t>H04L5/0092</t>
  </si>
  <si>
    <t>13/851,815</t>
  </si>
  <si>
    <t>Heterogeneous network (HETNET) user equipment (UE) radio resource management (RRM) measurements</t>
  </si>
  <si>
    <t>2013/03/27</t>
  </si>
  <si>
    <t>13/085,373</t>
  </si>
  <si>
    <t>Resource partitioning information for enhanced interference coordination</t>
  </si>
  <si>
    <t>Song; Osok|Damnjanovic; Aleksandar|Ji; Tingfang|Yoo; Taesang|Agashe; Parag Arun|Vajapeyam; Madhavan Srinivasan|Wei; Yongbin|Luo; Tao|Prakash; Rajat|Kitazoe; Masato</t>
  </si>
  <si>
    <t>2016/07/12</t>
  </si>
  <si>
    <t>H04W72/082</t>
  </si>
  <si>
    <t>US2010/048988</t>
  </si>
  <si>
    <t>高通|DAMNJANOVIC,Aleksandar|WEI,Yongbin|BARANY,Peter,A.</t>
  </si>
  <si>
    <t>高通|damnjanovic aleksandar|wei yongbin|barany peter a</t>
  </si>
  <si>
    <t>DAMNJANOVIC,Aleksandar|WEI,Yongbin|BARANY,Peter,A.</t>
  </si>
  <si>
    <t>DAMNJANOVIC,Aleksandar</t>
  </si>
  <si>
    <t>2010/09/15</t>
  </si>
  <si>
    <t>2011/03/24</t>
  </si>
  <si>
    <t>CN201080040931.4</t>
  </si>
  <si>
    <t>用于在异构网络中进行子帧交错的方法和装置</t>
  </si>
  <si>
    <t>A·达姆尼亚诺维奇|魏永斌|P·A·巴拉尼</t>
  </si>
  <si>
    <t>A·达姆尼亚诺维奇</t>
  </si>
  <si>
    <t>2015/07/29</t>
  </si>
  <si>
    <t>TW099135289</t>
  </si>
  <si>
    <t>用于载波扩展的下行链路和上行链路资源元素映射的方法、装置及电脑程式产品</t>
  </si>
  <si>
    <t>高通公司</t>
  </si>
  <si>
    <t>蒙托杰贞|陈旺旭</t>
  </si>
  <si>
    <t>蒙托杰贞</t>
  </si>
  <si>
    <t>2010/10/15</t>
  </si>
  <si>
    <t>2014/04/01</t>
  </si>
  <si>
    <t>H04W 72/12</t>
  </si>
  <si>
    <t>TW099131274</t>
  </si>
  <si>
    <t>用于在异质网路中进行子讯框交错的方法和装置</t>
  </si>
  <si>
    <t>丹加诺维克艾利克桑达|魏永斌|巴拉尼彼得Ａ</t>
  </si>
  <si>
    <t>丹加诺维克艾利克桑达</t>
  </si>
  <si>
    <t>2014/04/21</t>
  </si>
  <si>
    <t>12/486,715</t>
  </si>
  <si>
    <t>USING IDENTIFICATION SEQUENCES IN WIRELESS COMMUNICATION SYSTEMS</t>
  </si>
  <si>
    <t>Fang; Yonggang|Zhang; Wenfeng|Bhalla; Rajesh|Zhao; Xiaowu</t>
  </si>
  <si>
    <t>Fang; Yonggang</t>
  </si>
  <si>
    <t>2008/07/07</t>
  </si>
  <si>
    <t>2009/06/17</t>
  </si>
  <si>
    <t>2010/02/04</t>
  </si>
  <si>
    <t>H04W 36/34</t>
  </si>
  <si>
    <t>H04W36/0055</t>
  </si>
  <si>
    <t>8.24</t>
  </si>
  <si>
    <t>12/560,641</t>
  </si>
  <si>
    <t>Using identifier mapping to resolve access point identifier ambiguity</t>
  </si>
  <si>
    <t>Gogic; Aleksandar M.|Sundarraman; Chandrasekhar T.|Nanda; Sanjiv|Tinnakornsrisuphap; Peerapol|Gupta; Rajarshi</t>
  </si>
  <si>
    <t>Gogic; Aleksandar M.</t>
  </si>
  <si>
    <t>2008/09/18</t>
  </si>
  <si>
    <t>2009/09/16</t>
  </si>
  <si>
    <t>2013/02/19</t>
  </si>
  <si>
    <t>G01R</t>
  </si>
  <si>
    <t>G01R 31/08</t>
  </si>
  <si>
    <t>1.57</t>
  </si>
  <si>
    <t>12/625,061</t>
  </si>
  <si>
    <t>Wireless communication systems with femto nodes</t>
  </si>
  <si>
    <t>Nanda; Sanjiv|Yavuz; Mehmet|Walton; J. Rodney|Black; Peter J.</t>
  </si>
  <si>
    <t>Nanda; Sanjiv</t>
  </si>
  <si>
    <t>2008/12/01</t>
  </si>
  <si>
    <t>2014/01/21</t>
  </si>
  <si>
    <t>13/758,841</t>
  </si>
  <si>
    <t>2013/02/04</t>
  </si>
  <si>
    <t>2014/06/24</t>
  </si>
  <si>
    <t>12/849,947</t>
  </si>
  <si>
    <t>Access point identification based on multiple pilot signature indicators</t>
  </si>
  <si>
    <t>Tinnakornsrisuphap; Peerapol|Patel; Chirag Sureshbhai|Yavuz; Mehmet|Rauber; Peter Hans|Patwardhan; Ravindra Manohar</t>
  </si>
  <si>
    <t>Tinnakornsrisuphap; Peerapol</t>
  </si>
  <si>
    <t>2009/08/05</t>
  </si>
  <si>
    <t>2010/08/04</t>
  </si>
  <si>
    <t>2014/08/05</t>
  </si>
  <si>
    <t>13/087,760</t>
  </si>
  <si>
    <t>Active macro-femto hand-in with help from out-of-band proxy</t>
  </si>
  <si>
    <t>Soliman; Samir S.|Das; Soumya|Chaubey; Nishith|Awoniyi; Olufunmilola O.</t>
  </si>
  <si>
    <t>Soliman; Samir S.</t>
  </si>
  <si>
    <t>2010/04/23</t>
  </si>
  <si>
    <t>2011/04/15</t>
  </si>
  <si>
    <t>2014/09/16</t>
  </si>
  <si>
    <t>H04W36/04</t>
  </si>
  <si>
    <t>12/883,560</t>
  </si>
  <si>
    <t>Using parked mode to extend client sets in femto-proxy architectures</t>
  </si>
  <si>
    <t>Das; Soumya|Soliman; Samir S.</t>
  </si>
  <si>
    <t>Das; Soumya</t>
  </si>
  <si>
    <t>2010/09/16</t>
  </si>
  <si>
    <t>H04W36/22</t>
  </si>
  <si>
    <t>12/626,236</t>
  </si>
  <si>
    <t>Blank subframe uplink design</t>
  </si>
  <si>
    <t>Ji; Tingfang|Gaal; Peter</t>
  </si>
  <si>
    <t>2009/11/25</t>
  </si>
  <si>
    <t>H04J  1/10</t>
  </si>
  <si>
    <t>H04W74/0866</t>
  </si>
  <si>
    <t>12/560,634</t>
  </si>
  <si>
    <t>Using signal monitoring to resolve access point identifier ambiguity</t>
  </si>
  <si>
    <t>0.6</t>
  </si>
  <si>
    <t>12/849,924</t>
  </si>
  <si>
    <t>Message-based exchange of access point pilot signature indicators</t>
  </si>
  <si>
    <t>2014/11/25</t>
  </si>
  <si>
    <t>H04W36/0061</t>
  </si>
  <si>
    <t>13/009,317</t>
  </si>
  <si>
    <t>Uniquely identifying target femtocell to facilitate femto-assisted active hand-in</t>
  </si>
  <si>
    <t>Tinnakornsrisuphap; Peerapol|Das; Soumya|Patwardhan; Ravindra</t>
  </si>
  <si>
    <t>2011/01/19</t>
  </si>
  <si>
    <t>2015/02/10</t>
  </si>
  <si>
    <t>2015/04/07</t>
  </si>
  <si>
    <t>13/223,048</t>
  </si>
  <si>
    <t>Femtocell indication of mobile device proximity and transmission of mobile identity to assist in resolving femtocell disambiguation</t>
  </si>
  <si>
    <t>Soliman; Samir S.|Das; Soumya|Awoniyi; Olufunmilola O.|Radulescu; Andrei D.</t>
  </si>
  <si>
    <t>2015/06/30</t>
  </si>
  <si>
    <t>13/789,423</t>
  </si>
  <si>
    <t>Access point communication based on transmission of physical layer identifiers according to at least one time offset</t>
  </si>
  <si>
    <t>Singh; Damanjit|Tinnakornsrisuphap; Peerapol|Yavuz; Mehmet</t>
  </si>
  <si>
    <t>Singh; Damanjit</t>
  </si>
  <si>
    <t>2012/03/16</t>
  </si>
  <si>
    <t>2013/03/07</t>
  </si>
  <si>
    <t>H04J  3/06</t>
  </si>
  <si>
    <t>13/789,447</t>
  </si>
  <si>
    <t>Access point communication based on transmission of multiple physical layer identifiers</t>
  </si>
  <si>
    <t>2015/08/25</t>
  </si>
  <si>
    <t>14/490,191</t>
  </si>
  <si>
    <t>2014/09/18</t>
  </si>
  <si>
    <t>12/621,945</t>
  </si>
  <si>
    <t>Frequency hopping in a wireless communication network</t>
  </si>
  <si>
    <t>Chen; Wanshi|Gaal; Peter|Montojo; Juan|Kitazoe; Masato|Ho; Saiyiu Duncan|Tenny; Nathan E.</t>
  </si>
  <si>
    <t>Chen; Wanshi</t>
  </si>
  <si>
    <t>2009/01/28</t>
  </si>
  <si>
    <t>2009/11/19</t>
  </si>
  <si>
    <t>2016/06/21</t>
  </si>
  <si>
    <t>H04B  1/7143</t>
  </si>
  <si>
    <t>CN201080034287.X</t>
  </si>
  <si>
    <t>接入点导频签名指示符的基于消息的交换</t>
  </si>
  <si>
    <t>P·丁娜功西素帕普|C·S·帕特尔|M·亚武兹|P·H·劳贝尔|R·M·帕特瓦尔丹</t>
  </si>
  <si>
    <t>P·丁娜功西素帕普</t>
  </si>
  <si>
    <t>2010/08/05</t>
  </si>
  <si>
    <t>2016/05/04</t>
  </si>
  <si>
    <t>10/523936</t>
  </si>
  <si>
    <t>Method for decide cdma frequency hard handoffs</t>
  </si>
  <si>
    <t>Huang, Shenghua|Zheng, Tao|Zhu, Fusheng|Xu, Bin</t>
  </si>
  <si>
    <t>Huang, Shenghua</t>
  </si>
  <si>
    <t>2002/08/08</t>
  </si>
  <si>
    <t>2005/02/07</t>
  </si>
  <si>
    <t>2005/11/24</t>
  </si>
  <si>
    <t>13.81</t>
  </si>
  <si>
    <t>12/725,211</t>
  </si>
  <si>
    <t>Mobility in multi-carrier high speed packet access</t>
  </si>
  <si>
    <t>Zhang; Danlu|Kapoor; Rohit|Gholmieh; Aziz|Sambhwani; Sharad D.</t>
  </si>
  <si>
    <t>Zhang; Danlu</t>
  </si>
  <si>
    <t>2009/03/17</t>
  </si>
  <si>
    <t>2010/03/16</t>
  </si>
  <si>
    <t>2013/06/25</t>
  </si>
  <si>
    <t>H04L5/0023</t>
  </si>
  <si>
    <t>US2008/063793</t>
  </si>
  <si>
    <t>Carrier switching in a multi-carrier wireless communication network</t>
  </si>
  <si>
    <t>高通|PRAKASH,Rajat|KHANDEKAR,Aamod|GOROKHOV,Alexei</t>
  </si>
  <si>
    <t>高通|prakash rajat|khandekar aamod|gorokhov alexei</t>
  </si>
  <si>
    <t>PRAKASH,Rajat|KHANDEKAR,Aamod|GOROKHOV,Alexei</t>
  </si>
  <si>
    <t>PRAKASH,Rajat</t>
  </si>
  <si>
    <t>2008/05/15</t>
  </si>
  <si>
    <t>2008/11/20</t>
  </si>
  <si>
    <t>5.66</t>
  </si>
  <si>
    <t>US2011/055380</t>
  </si>
  <si>
    <t>高通|DAMNJANOVIC,Aleksandar|TENNY,Nathan,Edward</t>
  </si>
  <si>
    <t>高通|damnjanovic aleksandar|tenny nathan edward</t>
  </si>
  <si>
    <t>DAMNJANOVIC,Aleksandar|TENNY,Nathan,Edward</t>
  </si>
  <si>
    <t>2011/10/07</t>
  </si>
  <si>
    <t>2012/04/12</t>
  </si>
  <si>
    <t>H04W 36/08</t>
  </si>
  <si>
    <t>13/258,592</t>
  </si>
  <si>
    <t>Method for Sending and Detecting Downlink Control Information</t>
  </si>
  <si>
    <t>Li; Weijun|Dai; Bo|Yu; Guanghui|Chen; Yijian</t>
  </si>
  <si>
    <t>Li; Weijun</t>
  </si>
  <si>
    <t>2009/04/29</t>
  </si>
  <si>
    <t>2010/04/27</t>
  </si>
  <si>
    <t>2012/02/09</t>
  </si>
  <si>
    <t>5.22</t>
  </si>
  <si>
    <t>13/443,387</t>
  </si>
  <si>
    <t>Transmission of control information for FDD-TDD carrier aggregation</t>
  </si>
  <si>
    <t>Chen; Wanshi|Damnjanovic; Jelena M.</t>
  </si>
  <si>
    <t>2011/04/11</t>
  </si>
  <si>
    <t>2012/04/10</t>
  </si>
  <si>
    <t>2015/05/26</t>
  </si>
  <si>
    <t>0.20</t>
  </si>
  <si>
    <t>12/900,194</t>
  </si>
  <si>
    <t>Uplink resource allocation for LTE advanced</t>
  </si>
  <si>
    <t>Chen; Wanshi|Gaal; Peter|Khandekar; Aamod Dinkar|Montojo; Juan|Bhushan; Naga</t>
  </si>
  <si>
    <t>2009/10/08</t>
  </si>
  <si>
    <t>2010/10/07</t>
  </si>
  <si>
    <t>2015/06/09</t>
  </si>
  <si>
    <t>US2016/037235</t>
  </si>
  <si>
    <t>MULTIPLEXING DOWNLINK CONTROL INFORMATION OF SAME AGGREGATION LEVEL BY CODING TOGETHER</t>
  </si>
  <si>
    <t>TAVILDAR,Saurabha Rangrao|LI,Junyi|RICHARDSON,Thomas Joseph|ANG,Peter Pui Lok</t>
  </si>
  <si>
    <t>TAVILDAR,Saurabha Rangrao</t>
  </si>
  <si>
    <t>2015/07/31</t>
  </si>
  <si>
    <t>2016/06/13</t>
  </si>
  <si>
    <t>2017/02/09</t>
  </si>
  <si>
    <t>CN2009/070122</t>
  </si>
  <si>
    <t>Real-time service transmission method and resource allocation method</t>
  </si>
  <si>
    <t>中兴通讯|中兴通讯股份有限公司 ZHANG,Yincheng</t>
  </si>
  <si>
    <t>ZHANG,Yincheng|张银成</t>
  </si>
  <si>
    <t>ZHANG,Yincheng</t>
  </si>
  <si>
    <t>2008/01/14</t>
  </si>
  <si>
    <t>2009/01/13</t>
  </si>
  <si>
    <t>2009/07/23</t>
  </si>
  <si>
    <t>H04W 16/06</t>
  </si>
  <si>
    <t>0.42</t>
  </si>
  <si>
    <t>CN200910080037.9</t>
  </si>
  <si>
    <t>下行控制信息发送方法及相关系统、装置</t>
  </si>
  <si>
    <t>李卫军|戴  博|郁光辉|罗宇民</t>
  </si>
  <si>
    <t>李卫军</t>
  </si>
  <si>
    <t>2009/08/12</t>
  </si>
  <si>
    <t>H04W 28/06</t>
  </si>
  <si>
    <t>80.69</t>
  </si>
  <si>
    <t>12/877,694</t>
  </si>
  <si>
    <t>Multiple carrier indication and downlink control information interaction</t>
  </si>
  <si>
    <t>Chen; Wanshi|Luo; Tao|Khandekar; Aamod Dinkar|Montojo; Juan|Gaal; Peter|Damnjanovic; Jelena M.</t>
  </si>
  <si>
    <t>2009/09/11</t>
  </si>
  <si>
    <t>2010/09/08</t>
  </si>
  <si>
    <t>2016/05/24</t>
  </si>
  <si>
    <t>H04W72/042</t>
  </si>
  <si>
    <t>0.4</t>
  </si>
  <si>
    <t>CN201080060110.7</t>
  </si>
  <si>
    <t>针对多载波系统中的交叉载波信令的方法和装置</t>
  </si>
  <si>
    <t>W·陈|J·M·达姆尼亚诺维奇|P·加尔|J·蒙托霍|A·达姆尼亚诺维奇</t>
  </si>
  <si>
    <t>W·陈</t>
  </si>
  <si>
    <t>2010/12/23</t>
  </si>
  <si>
    <t>2015/04/29</t>
  </si>
  <si>
    <t>13/003,764</t>
  </si>
  <si>
    <t>Method for processing collision between random access procedure and measurement gap</t>
  </si>
  <si>
    <t>Zhang; Jian|Cheng; Xiang</t>
  </si>
  <si>
    <t>Zhang; Jian</t>
  </si>
  <si>
    <t>2008/08/07</t>
  </si>
  <si>
    <t>2009/03/31</t>
  </si>
  <si>
    <t>2011/05/19</t>
  </si>
  <si>
    <t>3.76</t>
  </si>
  <si>
    <t>12/744,250</t>
  </si>
  <si>
    <t>Real-Time Service Transmission Method and Resource Allocation Method</t>
  </si>
  <si>
    <t>Zhang; Yincheng|Rui; Hua</t>
  </si>
  <si>
    <t>Zhang; Yincheng</t>
  </si>
  <si>
    <t>2010/09/30</t>
  </si>
  <si>
    <t>0.23</t>
  </si>
  <si>
    <t>10/447,654</t>
  </si>
  <si>
    <t>Interworking mechanism between CDMA2000 and WLAN</t>
  </si>
  <si>
    <t>Jiang; James|Fang; Yonggang|Bhalla; Rajesh|Chion; Mary</t>
  </si>
  <si>
    <t>Jiang; James</t>
  </si>
  <si>
    <t>2002/05/28</t>
  </si>
  <si>
    <t>2003/05/28</t>
  </si>
  <si>
    <t>2007/08/07</t>
  </si>
  <si>
    <t>H04W92/02</t>
  </si>
  <si>
    <t>7.76</t>
  </si>
  <si>
    <t>11/238,811</t>
  </si>
  <si>
    <t>System and method for distributing wireless network access parameters</t>
  </si>
  <si>
    <t>Prakash; Rajat|Jain; Nikhil</t>
  </si>
  <si>
    <t>Prakash; Rajat</t>
  </si>
  <si>
    <t>2005/09/28</t>
  </si>
  <si>
    <t>2010/01/26</t>
  </si>
  <si>
    <t>H04L63/102</t>
  </si>
  <si>
    <t>3.63</t>
  </si>
  <si>
    <t>12/474,053</t>
  </si>
  <si>
    <t>Fixed mobile convergence (FMC) architectures</t>
  </si>
  <si>
    <t>Balasubramanian; Srinivasan|Chan; Leslie Chiming|Bharadwaj; Murali B.|Babbar; Uppinder Singh</t>
  </si>
  <si>
    <t>Balasubramanian; Srinivasan</t>
  </si>
  <si>
    <t>2008/05/29</t>
  </si>
  <si>
    <t>2009/05/28</t>
  </si>
  <si>
    <t>2012/02/14</t>
  </si>
  <si>
    <t>H04L65/1069</t>
  </si>
  <si>
    <t>0.5</t>
  </si>
  <si>
    <t>12/474,062</t>
  </si>
  <si>
    <t>Fixed mobile convergence (FMC) with PDIF and SIP gateway</t>
  </si>
  <si>
    <t>2012/02/21</t>
  </si>
  <si>
    <t>H04L 12/56</t>
  </si>
  <si>
    <t>H04L63/0428</t>
  </si>
  <si>
    <t>12/693,355</t>
  </si>
  <si>
    <t>2010/01/25</t>
  </si>
  <si>
    <t>11/861,280</t>
  </si>
  <si>
    <t>Ad hoc service provider configuration for broadcasting service information</t>
  </si>
  <si>
    <t>Krishnaswamy; Dilip|Suri; Atul</t>
  </si>
  <si>
    <t>Krishnaswamy; Dilip</t>
  </si>
  <si>
    <t>2007/08/17</t>
  </si>
  <si>
    <t>2007/09/26</t>
  </si>
  <si>
    <t>H04H</t>
  </si>
  <si>
    <t>H04H 20/71</t>
  </si>
  <si>
    <t>H04L63/029</t>
  </si>
  <si>
    <t>0.43</t>
  </si>
  <si>
    <t>12/624,286</t>
  </si>
  <si>
    <t>Apparatus and method for selecting IP services</t>
  </si>
  <si>
    <t>Wang; Jun|Cherian; George|Shirota; Masakazu|Babbar; Uppinder|Lioy; Marcello</t>
  </si>
  <si>
    <t>Wang; Jun</t>
  </si>
  <si>
    <t>2008/11/26</t>
  </si>
  <si>
    <t>2009/11/23</t>
  </si>
  <si>
    <t>H04L63/08</t>
  </si>
  <si>
    <t>12/561,907</t>
  </si>
  <si>
    <t>Mobility protocol selection in a multi-internet protocol mobility environment</t>
  </si>
  <si>
    <t>Lioy; Marcello V.|Wang; Jun|Cherian; George</t>
  </si>
  <si>
    <t>Lioy; Marcello V.</t>
  </si>
  <si>
    <t>2008/10/22</t>
  </si>
  <si>
    <t>2009/09/17</t>
  </si>
  <si>
    <t>H04L69/16</t>
  </si>
  <si>
    <t>12/472,274</t>
  </si>
  <si>
    <t>FMC architecture for CDMA network</t>
  </si>
  <si>
    <t>Vangala; Venkata Satish Kumar|Babbar; Uppinder Singh</t>
  </si>
  <si>
    <t>Vangala; Venkata Satish Kumar</t>
  </si>
  <si>
    <t>2008/05/27</t>
  </si>
  <si>
    <t>2009/05/26</t>
  </si>
  <si>
    <t>2015/03/17</t>
  </si>
  <si>
    <t>G06F 15/177</t>
  </si>
  <si>
    <t>H04L65/104</t>
  </si>
  <si>
    <t>13/270,138</t>
  </si>
  <si>
    <t>Ad hoc service provider's ability to provide service for a wireless network</t>
  </si>
  <si>
    <t>2011/10/10</t>
  </si>
  <si>
    <t>2015/10/20</t>
  </si>
  <si>
    <t>H04W12/06</t>
  </si>
  <si>
    <t>12/787,301</t>
  </si>
  <si>
    <t>Maximizing service provider utility in a heterogeneous wireless ad-hoc network</t>
  </si>
  <si>
    <t>2010/05/25</t>
  </si>
  <si>
    <t>H04W 84/20</t>
  </si>
  <si>
    <t>11/559,018</t>
  </si>
  <si>
    <t>Apparatus and methods for reducing power consumption and/or radio frequency interference in a mobile computing device</t>
  </si>
  <si>
    <t>Zhao; Wen|Mahe; Isabel</t>
  </si>
  <si>
    <t>Zhao; Wen</t>
  </si>
  <si>
    <t>2006/11/13</t>
  </si>
  <si>
    <t>H04W52/0274</t>
  </si>
  <si>
    <t>12/188,990</t>
  </si>
  <si>
    <t>Handoff at an ad-hoc mobile service provider</t>
  </si>
  <si>
    <t>2008/08/08</t>
  </si>
  <si>
    <t>H04W12/04</t>
  </si>
  <si>
    <t>11/861,279</t>
  </si>
  <si>
    <t>2016/07/19</t>
  </si>
  <si>
    <t>H04W 12/06</t>
  </si>
  <si>
    <t>CN200710111519.7</t>
  </si>
  <si>
    <t>一种上行随机接入前导序列选择方法</t>
  </si>
  <si>
    <t>张峻峰</t>
  </si>
  <si>
    <t>2007/06/19</t>
  </si>
  <si>
    <t>2007/12/19</t>
  </si>
  <si>
    <t>H04B  1/707</t>
  </si>
  <si>
    <t>H04B7/005B2P</t>
  </si>
  <si>
    <t>13.48</t>
  </si>
  <si>
    <t>CN201080026854.7</t>
  </si>
  <si>
    <t>无线通信系统中的随机接入过程</t>
  </si>
  <si>
    <t>罗涛|魏永斌|D·P·马拉蒂</t>
  </si>
  <si>
    <t>罗涛</t>
  </si>
  <si>
    <t>2009/06/16</t>
  </si>
  <si>
    <t>2010/06/16</t>
  </si>
  <si>
    <t>2015/07/08</t>
  </si>
  <si>
    <t>H04W 74/08</t>
  </si>
  <si>
    <t>11/205774</t>
  </si>
  <si>
    <t>Fast cell search and accurate synchronization in wireless communications</t>
  </si>
  <si>
    <t>Cai; Sean|Zhang; Wenzhong|Wang; Jing|Hou; Jason|Fang; Yonggang|Yang; Yunsong</t>
  </si>
  <si>
    <t>Cai; Sean</t>
  </si>
  <si>
    <t>2004/08/16</t>
  </si>
  <si>
    <t>2005/08/16</t>
  </si>
  <si>
    <t>2006/03/23</t>
  </si>
  <si>
    <t>44.32</t>
  </si>
  <si>
    <t>11/021,310</t>
  </si>
  <si>
    <t>Wide area and local network ID transmission for communication systems</t>
  </si>
  <si>
    <t>Wang; Michael Mao|Vrcelj; Bojan|Mukkavilli; Krishna Kiran|Krishnamoorthi; Raghuraman|Vijayan; Rajiv</t>
  </si>
  <si>
    <t>Wang; Michael Mao</t>
  </si>
  <si>
    <t>2010/12/14</t>
  </si>
  <si>
    <t>11/925,719</t>
  </si>
  <si>
    <t>Methods and apparatus for signal and timing detection in wireless communication systems</t>
  </si>
  <si>
    <t>Park; Ju Won|Park; Jong Hyeon|Kim; Je Woo</t>
  </si>
  <si>
    <t>Park; Ju Won</t>
  </si>
  <si>
    <t>2006/11/07</t>
  </si>
  <si>
    <t>2007/10/26</t>
  </si>
  <si>
    <t>2012/09/11</t>
  </si>
  <si>
    <t>H04L  7/02</t>
  </si>
  <si>
    <t>11/955,062</t>
  </si>
  <si>
    <t>Methods and apparatus for identifying a preamble sequence and for estimating an integer carrier frequency offset</t>
  </si>
  <si>
    <t>Park; Jong Hyeon|Park; Ju Won|Kim; Je Woo</t>
  </si>
  <si>
    <t>Park; Jong Hyeon</t>
  </si>
  <si>
    <t>2007/12/12</t>
  </si>
  <si>
    <t>2013/09/10</t>
  </si>
  <si>
    <t>H04L27/2659</t>
  </si>
  <si>
    <t>11/969,330</t>
  </si>
  <si>
    <t>Methods and apparatus for synchronization and detection in wireless communication systems</t>
  </si>
  <si>
    <t>Park; Jong Hyeon|Sim; Bok Tae|Chang; Tae Ryun|Kim; Je Woo|Park; Ju Won|Lee; Chae Kwan|Nanavati; Sameer</t>
  </si>
  <si>
    <t>2008/01/04</t>
  </si>
  <si>
    <t>2013/09/17</t>
  </si>
  <si>
    <t>H03K  9/00</t>
  </si>
  <si>
    <t>12/112,570</t>
  </si>
  <si>
    <t>Generation and detection of synchronization signal in a wireless communication system</t>
  </si>
  <si>
    <t>Luo; Tao|Gaal; Peter</t>
  </si>
  <si>
    <t>2007/05/01</t>
  </si>
  <si>
    <t>2014/02/11</t>
  </si>
  <si>
    <t>H04J11/0076</t>
  </si>
  <si>
    <t>0.10</t>
  </si>
  <si>
    <t>12/443,960</t>
  </si>
  <si>
    <t>Method and apparatus for cell search in an orthogonal wireless communication system</t>
  </si>
  <si>
    <t>Montojo; Juan|Kim; Byoung-Hoon|Malladi; Durga Prasad|Luo; Tao</t>
  </si>
  <si>
    <t>2006/11/01</t>
  </si>
  <si>
    <t>H04J11/0069</t>
  </si>
  <si>
    <t>12/446,679</t>
  </si>
  <si>
    <t>Acquisition pilots for wireless communication systems</t>
  </si>
  <si>
    <t>Gorokhov; Alexei|Khandekar; Aamod|Wang; Michael Mao</t>
  </si>
  <si>
    <t>2006/10/24</t>
  </si>
  <si>
    <t>2007/10/24</t>
  </si>
  <si>
    <t>2015/12/01</t>
  </si>
  <si>
    <t>H04B1/7075</t>
  </si>
  <si>
    <t>12/948,759</t>
  </si>
  <si>
    <t>2010/11/18</t>
  </si>
  <si>
    <t>2016/05/31</t>
  </si>
  <si>
    <t>US2007/082209</t>
  </si>
  <si>
    <t>Frame structures for wireless communication systems</t>
  </si>
  <si>
    <t>高通|KHANDEKAR,Aamod|GOROKHOV,Alexei|BHUSHAN,Naga|WANG,Michael Mao</t>
  </si>
  <si>
    <t>高通|khandekar aamod|gorokhov alexei|bhushan naga|wang michael mao</t>
  </si>
  <si>
    <t>KHANDEKAR,Aamod|GOROKHOV,Alexei|BHUSHAN,Naga|WANG,Michael Mao</t>
  </si>
  <si>
    <t>KHANDEKAR,Aamod</t>
  </si>
  <si>
    <t>2007/10/23</t>
  </si>
  <si>
    <t>2008/06/12</t>
  </si>
  <si>
    <t>H04L  5/02</t>
  </si>
  <si>
    <t>2.34</t>
  </si>
  <si>
    <t>TW096139900</t>
  </si>
  <si>
    <t>用于无线通讯系统的讯框结构</t>
  </si>
  <si>
    <t>亚摩德　肯卡尔|艾利克斯　格罗福|那贾　包雪恩|麦可　莫　王</t>
  </si>
  <si>
    <t>亚摩德　肯卡尔</t>
  </si>
  <si>
    <t>WO2007US82209</t>
  </si>
  <si>
    <t>FRAME STRUCTURES FOR WIRELESS COMMUNICATION SYSTEMS</t>
  </si>
  <si>
    <t>高通|KHANDEKAR AAMOD|GOROKHOV ALEXEI|BHUSHAN NAGA|WANG MICHAEL MAO</t>
  </si>
  <si>
    <t>KHANDEKAR AAMOD|GOROKHOV ALEXEI|BHUSHAN NAGA|WANG MICHAEL MAO</t>
  </si>
  <si>
    <t>KHANDEKAR AAMOD</t>
  </si>
  <si>
    <t>H04L  5/16</t>
  </si>
  <si>
    <t>其他</t>
  </si>
  <si>
    <t>AU20070329731</t>
  </si>
  <si>
    <t>KHANDEKAR AAMOD|WANG MICHAEL MAO|GOROKHOV ALEXEI|BHUSHAN NAGA</t>
  </si>
  <si>
    <t>2011/03/17</t>
  </si>
  <si>
    <t>H04L27/261</t>
  </si>
  <si>
    <t>CN2007/003346</t>
  </si>
  <si>
    <t>Downlink transmission system and method for borrowing spectrum resources and channel resources from adjacent cells</t>
  </si>
  <si>
    <t>中兴通讯|中兴通讯</t>
  </si>
  <si>
    <t>DIAO,Xinxi</t>
  </si>
  <si>
    <t>2007/11/27</t>
  </si>
  <si>
    <t>2009/06/04</t>
  </si>
  <si>
    <t>2.89</t>
  </si>
  <si>
    <t>CN201010165419.4</t>
  </si>
  <si>
    <t>一种机器通信的接入控制方法及系统和系统</t>
  </si>
  <si>
    <t>支春霞|吴昊|李志军|李兰兰|谢宝国</t>
  </si>
  <si>
    <t>支春霞</t>
  </si>
  <si>
    <t>2010/04/30</t>
  </si>
  <si>
    <t>2011/02/09</t>
  </si>
  <si>
    <t>H04W  8/02</t>
  </si>
  <si>
    <t>37.0</t>
  </si>
  <si>
    <t>13/662,407</t>
  </si>
  <si>
    <t>Systems and methods for fast initial network link setup</t>
  </si>
  <si>
    <t>Cherian; George|Abraham; Santosh Paul|Merlin; Simone</t>
  </si>
  <si>
    <t>Cherian; George</t>
  </si>
  <si>
    <t>2011/10/28</t>
  </si>
  <si>
    <t>2012/10/26</t>
  </si>
  <si>
    <t>H04W74/0891</t>
  </si>
  <si>
    <t>13/662,409</t>
  </si>
  <si>
    <t>H04W76/021</t>
  </si>
  <si>
    <t>13/662,401</t>
  </si>
  <si>
    <t>13/662,410</t>
  </si>
  <si>
    <t>13/662,404</t>
  </si>
  <si>
    <t>2016/07/26</t>
  </si>
  <si>
    <t>H04W72/005</t>
  </si>
  <si>
    <t>13/662,411</t>
  </si>
  <si>
    <t>2016/09/13</t>
  </si>
  <si>
    <t>H04W74/085</t>
  </si>
  <si>
    <t>US2012/062467</t>
  </si>
  <si>
    <t>CHERIAN GEORGE [US]|ABRAHAM SANTOSH PAUL [US]|MERLIN SIMONE [US]</t>
  </si>
  <si>
    <t>CHERIAN GEORGE [US]</t>
  </si>
  <si>
    <t>2012/10/29</t>
  </si>
  <si>
    <t>2013/05/02</t>
  </si>
  <si>
    <t>H04W 48/10</t>
  </si>
  <si>
    <t>US2012/062471</t>
  </si>
  <si>
    <t>H04W 48/06</t>
  </si>
  <si>
    <t>US2012/062475</t>
  </si>
  <si>
    <t>WO2012US62475</t>
  </si>
  <si>
    <t>SYSTEMS AND METHODS FOR FAST INITIAL NETWORK LINK SETUP</t>
  </si>
  <si>
    <t>CHERIAN GEORGE|ABRAHAM SANTOSH PAUL|MERLIN SIMONE</t>
  </si>
  <si>
    <t>CHERIAN GEORGE</t>
  </si>
  <si>
    <t>2013/08/08</t>
  </si>
  <si>
    <t>12/701,327</t>
  </si>
  <si>
    <t>Paging Mechanisms for Mobile Stations with Multiple Subscriptions</t>
  </si>
  <si>
    <t>Fang; Yonggang|Zhao; Xiaowu</t>
  </si>
  <si>
    <t>2009/02/05</t>
  </si>
  <si>
    <t>2010/02/05</t>
  </si>
  <si>
    <t>2010/08/12</t>
  </si>
  <si>
    <t>H04W 68/02</t>
  </si>
  <si>
    <t>H04W68/025</t>
  </si>
  <si>
    <t>7.91</t>
  </si>
  <si>
    <t>13/669,692</t>
  </si>
  <si>
    <t>Apparatus and method for employing a page cycle learning mode</t>
  </si>
  <si>
    <t>Walke; Simon|Tebbit; Nicholas J.</t>
  </si>
  <si>
    <t>Walke; Simon</t>
  </si>
  <si>
    <t>2012/03/08</t>
  </si>
  <si>
    <t>2012/11/06</t>
  </si>
  <si>
    <t>2014/08/26</t>
  </si>
  <si>
    <t>H04W68/00</t>
  </si>
  <si>
    <t>12/846,546</t>
  </si>
  <si>
    <t>Method and apparatus to improvie idle mode power consumption in multiple USIM configuration</t>
  </si>
  <si>
    <t>Chin; Tom|Shi; Guangming|Lee; Kuo-Chun</t>
  </si>
  <si>
    <t>Chin; Tom</t>
  </si>
  <si>
    <t>2010/04/05</t>
  </si>
  <si>
    <t>2010/07/29</t>
  </si>
  <si>
    <t>2014/10/14</t>
  </si>
  <si>
    <t>H04W52/0216</t>
  </si>
  <si>
    <t>12/903,033</t>
  </si>
  <si>
    <t>Method and apparatus for efficient idle operation in a dual-SIM CDMA 1X mobile station</t>
  </si>
  <si>
    <t>2010/10/12</t>
  </si>
  <si>
    <t>H04W8/26</t>
  </si>
  <si>
    <t>13/365,008</t>
  </si>
  <si>
    <t>Operation of devices supporting multiple SIMs</t>
  </si>
  <si>
    <t>Dhanda; Mungal Singh|Mutya; Subbarayudu|Kanthala; Venkata Raji Reddy|Walke; Simon</t>
  </si>
  <si>
    <t>Dhanda; Mungal Singh</t>
  </si>
  <si>
    <t>2011/02/03</t>
  </si>
  <si>
    <t>2012/02/02</t>
  </si>
  <si>
    <t>H04W68/02</t>
  </si>
  <si>
    <t>12/903,034</t>
  </si>
  <si>
    <t>Method and apparatus for efficient idle operation in a dual-SIM WCDMA mobile station</t>
  </si>
  <si>
    <t>13/965,505</t>
  </si>
  <si>
    <t>Devices and methods for facilitating paging channel arbitration in multi-SIM architectures</t>
  </si>
  <si>
    <t>Ponukumati; Dhananjaya Sarma</t>
  </si>
  <si>
    <t>2013/08/13</t>
  </si>
  <si>
    <t>14/502,504</t>
  </si>
  <si>
    <t>2014/09/30</t>
  </si>
  <si>
    <t>US2011/056026</t>
  </si>
  <si>
    <t>Method and apparatus for efficient idle operation in a dual-sim cdma 1x mobile station</t>
  </si>
  <si>
    <t>高通|CHIN,Tom|SHI,Guangming|LEE,Kuo-Chun</t>
  </si>
  <si>
    <t>高通|chin tom|shi guangming|lee kuo chun</t>
  </si>
  <si>
    <t>CHIN,Tom|SHI,Guangming|LEE,Kuo-Chun</t>
  </si>
  <si>
    <t>CHIN,Tom</t>
  </si>
  <si>
    <t>2011/10/12</t>
  </si>
  <si>
    <t>2012/04/19</t>
  </si>
  <si>
    <t>H04W  8/26</t>
  </si>
  <si>
    <t>US2011/056027</t>
  </si>
  <si>
    <t>Method and apparatus for efficient idle operation in a dual-sim wcdma mobile station</t>
  </si>
  <si>
    <t>US2012/023865</t>
  </si>
  <si>
    <t>Operation of devices supporting multiple sims</t>
  </si>
  <si>
    <t>高通|DHANDA,Mungal Singh|MUTYA,Subbarayudu|KANTHALA,Venkata Raji Reddy|WALKE,Simon</t>
  </si>
  <si>
    <t>高通|dhanda mungal singh|mutya subbarayudu|kanthala venkata raji reddy|walke simon</t>
  </si>
  <si>
    <t>DHANDA,Mungal Singh|MUTYA,Subbarayudu|KANTHALA,Venkata Raji Reddy|WALKE,Simon</t>
  </si>
  <si>
    <t>DHANDA,Mungal Singh</t>
  </si>
  <si>
    <t>2012/02/03</t>
  </si>
  <si>
    <t>2012/08/09</t>
  </si>
  <si>
    <t>0.68</t>
  </si>
  <si>
    <t>10/447654</t>
  </si>
  <si>
    <t>Jiang, James|Fang, Yonggang|Bhalla, Rajesh|Chion, Mary</t>
  </si>
  <si>
    <t>Jiang, James</t>
  </si>
  <si>
    <t>2004/06/17</t>
  </si>
  <si>
    <t>62.45</t>
  </si>
  <si>
    <t>11/120,741</t>
  </si>
  <si>
    <t>Method and apparatus for content delivery to a mobile device</t>
  </si>
  <si>
    <t>Chen; An Mei|Saidi; Ben A.|Chandhok; Ravinder</t>
  </si>
  <si>
    <t>Chen; An Mei</t>
  </si>
  <si>
    <t>2004/05/04</t>
  </si>
  <si>
    <t>2005/05/02</t>
  </si>
  <si>
    <t>2011/02/15</t>
  </si>
  <si>
    <t>H04L67/06</t>
  </si>
  <si>
    <t>12/844,726</t>
  </si>
  <si>
    <t>Wireless local access network system detection and selection</t>
  </si>
  <si>
    <t>Hsu; Raymond Tah-Sheng|Sinnarajah; Ragulan</t>
  </si>
  <si>
    <t>Hsu; Raymond Tah-Sheng</t>
  </si>
  <si>
    <t>2010/07/27</t>
  </si>
  <si>
    <t>2011/11/22</t>
  </si>
  <si>
    <t>H04L12/189</t>
  </si>
  <si>
    <t>11/233,676</t>
  </si>
  <si>
    <t>Handoff supports for networks having different link establishment protocols</t>
  </si>
  <si>
    <t>Shirota; Masakazu|Wang; Jun|Lioy; Marcello</t>
  </si>
  <si>
    <t>Shirota; Masakazu</t>
  </si>
  <si>
    <t>2004/09/28</t>
  </si>
  <si>
    <t>2005/09/22</t>
  </si>
  <si>
    <t>2012/07/31</t>
  </si>
  <si>
    <t>H04W36/0005</t>
  </si>
  <si>
    <t>11/502,091</t>
  </si>
  <si>
    <t>Method and apparatus for simultaneous communication utilizing multiple wireless communication systems</t>
  </si>
  <si>
    <t>Dravida; Subrahmanyam|Walton; Jay Rodney|Surineni; Shravan K.</t>
  </si>
  <si>
    <t>Dravida; Subrahmanyam</t>
  </si>
  <si>
    <t>2005/08/10</t>
  </si>
  <si>
    <t>2006/08/09</t>
  </si>
  <si>
    <t>2014/01/07</t>
  </si>
  <si>
    <t>H04W36/0066</t>
  </si>
  <si>
    <t>12/131,039</t>
  </si>
  <si>
    <t>Methods and apparatus for providing PMIP key hierarchy in wireless communication networks</t>
  </si>
  <si>
    <t>Narayanan; Vidya|Ulupinar; Fatih|Wang; Jun|Dondeti; Lakshminath Reddy|Hsu; Raymond Tah-Sheng</t>
  </si>
  <si>
    <t>Narayanan; Vidya</t>
  </si>
  <si>
    <t>2007/05/31</t>
  </si>
  <si>
    <t>2008/05/31</t>
  </si>
  <si>
    <t>2014/07/01</t>
  </si>
  <si>
    <t>G06F  7/04</t>
  </si>
  <si>
    <t>H04L9/0836</t>
  </si>
  <si>
    <t>11/193,068</t>
  </si>
  <si>
    <t>Fast link establishment for network access</t>
  </si>
  <si>
    <t>Lioy; Marcello|Wang; Jun|Shirota; Masakazu|Hsu; Raymond Tah-Sheng|Veerepalli; Sivaramakrishna</t>
  </si>
  <si>
    <t>Lioy; Marcello</t>
  </si>
  <si>
    <t>2004/07/30</t>
  </si>
  <si>
    <t>2005/07/28</t>
  </si>
  <si>
    <t>G06F 15/173</t>
  </si>
  <si>
    <t>PCT/US2005/03528.4</t>
  </si>
  <si>
    <t>高通|Shirota,Masakazu|Wang,Jun|Lioy,Marcello</t>
  </si>
  <si>
    <t>高通|shirota masakazu|wang jun|lioy marcello</t>
  </si>
  <si>
    <t>Shirota,Masakazu|Wang,Jun|Lioy,Marcello</t>
  </si>
  <si>
    <t>Shirota,Masakazu</t>
  </si>
  <si>
    <t>2006/04/06</t>
  </si>
  <si>
    <t>H04W 36/14</t>
  </si>
  <si>
    <t>US2009/045347</t>
  </si>
  <si>
    <t>Reduction of processing for a mobile device which is securely connected through various links</t>
  </si>
  <si>
    <t>高通|VANGALA,Venkata,Satish,Kumar|BABBAR,Uppinder,Singh</t>
  </si>
  <si>
    <t>高通|vangala venkata satish kumar|babbar uppinder singh</t>
  </si>
  <si>
    <t>VANGALA,Venkata,Satish,Kumar|BABBAR,Uppinder,Singh</t>
  </si>
  <si>
    <t>VANGALA,Venkata,Satish,Kumar</t>
  </si>
  <si>
    <t>2009/05/27</t>
  </si>
  <si>
    <t>2009/12/23</t>
  </si>
  <si>
    <t>US2009/065808</t>
  </si>
  <si>
    <t>Apparatus and method for selecting ip services</t>
  </si>
  <si>
    <t>高通|WANG,Jun|CHERIAN,George|SHIROTA,Masakazu|BABBAR,Uppinder S.|LIOY,Marcello V.</t>
  </si>
  <si>
    <t>高通|wang jun|cherian george|shirota masakazu|babbar uppinder s|lioy marcello v</t>
  </si>
  <si>
    <t>WANG,Jun|CHERIAN,George|SHIROTA,Masakazu|BABBAR,Uppinder S.|LIOY,Marcello V.</t>
  </si>
  <si>
    <t>WANG,Jun</t>
  </si>
  <si>
    <t>2010/06/03</t>
  </si>
  <si>
    <t>CN2008/071124</t>
  </si>
  <si>
    <t>Method for sending, transmitting and scheduling system message in long term evolution system</t>
  </si>
  <si>
    <t>DU,Zhongda</t>
  </si>
  <si>
    <t>2008/05/28</t>
  </si>
  <si>
    <t>2009/06/25</t>
  </si>
  <si>
    <t>0.45</t>
  </si>
  <si>
    <t>CN200710142551.1</t>
  </si>
  <si>
    <t>高速上行分组接入的媒体接入控制层调度方法及系统</t>
  </si>
  <si>
    <t>殷玮玮|刘  虎|费佩燕|陈  慧|张银成|李  轶</t>
  </si>
  <si>
    <t>殷玮玮</t>
  </si>
  <si>
    <t>2007/08/29</t>
  </si>
  <si>
    <t>2009/03/04</t>
  </si>
  <si>
    <t>H04Q  7/22</t>
  </si>
  <si>
    <t>1.19</t>
  </si>
  <si>
    <t>13/246,491</t>
  </si>
  <si>
    <t>Method and apparatus for adjusting rise-over-thermal threshold</t>
  </si>
  <si>
    <t>Tokgoz; Yeliz|Yavuz; Mehmet|Meshkati; Farhad</t>
  </si>
  <si>
    <t>Tokgoz; Yeliz</t>
  </si>
  <si>
    <t>2010/09/29</t>
  </si>
  <si>
    <t>2011/09/27</t>
  </si>
  <si>
    <t>2015/06/23</t>
  </si>
  <si>
    <t>12/212,465</t>
  </si>
  <si>
    <t>Interference management utilizing power control</t>
  </si>
  <si>
    <t>Yavuz; Mehmet|Black; Peter J.|Nanda; Sanjiv</t>
  </si>
  <si>
    <t>Yavuz; Mehmet</t>
  </si>
  <si>
    <t>2007/09/21</t>
  </si>
  <si>
    <t>2008/09/17</t>
  </si>
  <si>
    <t>H04W52/243</t>
  </si>
  <si>
    <t>12/276,916</t>
  </si>
  <si>
    <t>Interference management in a wireless communication system using adaptive path loss adjustment</t>
  </si>
  <si>
    <t>Yavuz; Mehmet|Black; Peter J.|Nanda; Sanjiv|Tokgoz; Yeliz</t>
  </si>
  <si>
    <t>2008/11/24</t>
  </si>
  <si>
    <t>12/212,622</t>
  </si>
  <si>
    <t>Interference management utilizing HARQ interlaces</t>
  </si>
  <si>
    <t>Yavuz; Mehmet|Nanda; Sanjiv|Black; Peter J.|Mohanty; Bibhu</t>
  </si>
  <si>
    <t>2015/07/07</t>
  </si>
  <si>
    <t>14/263,607</t>
  </si>
  <si>
    <t>Interference management in a wireless communication system using frequency selective transmission</t>
  </si>
  <si>
    <t>Black; Peter J.|Fan; Mingxi|Vanichpun; Sarut|Yavuz; Mehmet</t>
  </si>
  <si>
    <t>Black; Peter J.</t>
  </si>
  <si>
    <t>2014/04/28</t>
  </si>
  <si>
    <t>12/212,638</t>
  </si>
  <si>
    <t>Interference management employing fractional time reuse</t>
  </si>
  <si>
    <t>14/307,382</t>
  </si>
  <si>
    <t>Interface management in wireless communication system using hybrid time reuse</t>
  </si>
  <si>
    <t>Yavuz; Mehmet|Black; Peter|Nanda; Sanjiv</t>
  </si>
  <si>
    <t>2014/06/17</t>
  </si>
  <si>
    <t>14/307,416</t>
  </si>
  <si>
    <t>Interference management utilizing power and attenuation profiles</t>
  </si>
  <si>
    <t>2016/05/17</t>
  </si>
  <si>
    <t>H04W 52/24</t>
  </si>
  <si>
    <t>12/212,612</t>
  </si>
  <si>
    <t>10/313943</t>
  </si>
  <si>
    <t>Trunking system for CDMA wireless communication</t>
  </si>
  <si>
    <t>Jiang, James|Chion, Mary|Fang, Yonggang</t>
  </si>
  <si>
    <t>2002/08/15</t>
  </si>
  <si>
    <t>2002/12/05</t>
  </si>
  <si>
    <t>2004/03/04</t>
  </si>
  <si>
    <t>45.9</t>
  </si>
  <si>
    <t>11/156,033</t>
  </si>
  <si>
    <t>Method for using a signaling channel to set up a call request for a push-to-talk communication on a wireless communication network</t>
  </si>
  <si>
    <t>Rosen; Eric C.|Gill; Harleen K.|Ananthanarayanan; Arulmozhi Kasi|Razdan; Ashu</t>
  </si>
  <si>
    <t>Rosen; Eric C.</t>
  </si>
  <si>
    <t>2004/06/21</t>
  </si>
  <si>
    <t>2007/10/30</t>
  </si>
  <si>
    <t>H04W76/005</t>
  </si>
  <si>
    <t>0.27</t>
  </si>
  <si>
    <t>10/889,926</t>
  </si>
  <si>
    <t>Dynamic shared forward link channel for a wireless communication system</t>
  </si>
  <si>
    <t>Chen; Tao|Achour; Baaziz|Butler; Brian K.|Tiedemann, Jr.; Edward G.|Zhang; Haitao|Saints; Keith W.|Blessent; Luca|Wei; Yongbin</t>
  </si>
  <si>
    <t>Chen; Tao</t>
  </si>
  <si>
    <t>2003/07/11</t>
  </si>
  <si>
    <t>2004/07/12</t>
  </si>
  <si>
    <t>H04W4/06</t>
  </si>
  <si>
    <t>2.10</t>
  </si>
  <si>
    <t>11/669,000</t>
  </si>
  <si>
    <t>Methods and systems for rate control within an encoding device</t>
  </si>
  <si>
    <t>Walker; Gordon Kent|Raveendran; Vijayalakshmi R.|Gupta; Binita|Bhamidipati; Phanikumar|Collins; Bruce</t>
  </si>
  <si>
    <t>Walker; Gordon Kent</t>
  </si>
  <si>
    <t>2006/01/31</t>
  </si>
  <si>
    <t>2007/01/30</t>
  </si>
  <si>
    <t>G06K</t>
  </si>
  <si>
    <t>G06K  9/36</t>
  </si>
  <si>
    <t>H04N19/196</t>
  </si>
  <si>
    <t>12/793,794</t>
  </si>
  <si>
    <t>2010/06/04</t>
  </si>
  <si>
    <t>2014/07/08</t>
  </si>
  <si>
    <t>11/668,828</t>
  </si>
  <si>
    <t>Methods and systems for resizing multimedia content</t>
  </si>
  <si>
    <t>Walker; Gordon Kent|Raveendran; Vijayalakshmi R.|Gupta; Binita|Bhamidipati; Phanikumar</t>
  </si>
  <si>
    <t>2014/07/29</t>
  </si>
  <si>
    <t>13/175,786</t>
  </si>
  <si>
    <t>Methods and systems for resizing multimedia content based on quality and rate information</t>
  </si>
  <si>
    <t>Raveendran; Vijayalakshmi R.|Walker; Gordon Kent|Gupta; Binita|Bhamidipati; Phanikumar|Collins; Bruce|Shah; Devarshi|Daly; Robert S.|Dahl; Sten Jorgen|Loukas; Serafim S.|Ahuja; Bharat|Nagaraj; Thadi M.|Kaushik; Vinod|Kannan; Prasanna</t>
  </si>
  <si>
    <t>Raveendran; Vijayalakshmi R.</t>
  </si>
  <si>
    <t>2011/07/01</t>
  </si>
  <si>
    <t>H04N21/234354</t>
  </si>
  <si>
    <t>14/549,246</t>
  </si>
  <si>
    <t>Radio access technology handover optimization in a push-to-talk session</t>
  </si>
  <si>
    <t>Suryavanshi; Vijay Anandrao</t>
  </si>
  <si>
    <t>2014/11/20</t>
  </si>
  <si>
    <t>2016/11/15</t>
  </si>
  <si>
    <t>H04W36/245</t>
  </si>
  <si>
    <t>PCT/US2005/02211.8</t>
  </si>
  <si>
    <t>Method for using a signaling channel to set up a call request for a push to talk (ptt) communication on a wireless communication network</t>
  </si>
  <si>
    <t>高通|Rosen,Eric C.|Gill,Harleen K.|Ananthanarayanan,Arulmozhi Kasi|Razdan,Ashu</t>
  </si>
  <si>
    <t>高通|rosen eric c|gill harleen k|ananthanarayanan arulmozhi kasi|razdan ashu</t>
  </si>
  <si>
    <t>Rosen,Eric C.|Gill,Harleen K.|Ananthanarayanan,Arulmozhi Kasi|Razdan,Ashu</t>
  </si>
  <si>
    <t>Rosen,Eric C.</t>
  </si>
  <si>
    <t>2005/06/20</t>
  </si>
  <si>
    <t>H04W 84/08</t>
  </si>
  <si>
    <t>CN2011/071689</t>
  </si>
  <si>
    <t>Internet of things service architecture and method for realizing internet of things service</t>
  </si>
  <si>
    <t>中兴通讯|中兴通讯股份有限公司 LI,Hui</t>
  </si>
  <si>
    <t>LI,Hui|李会</t>
  </si>
  <si>
    <t>LI,Hui</t>
  </si>
  <si>
    <t>2011/03/10</t>
  </si>
  <si>
    <t>2011/11/03</t>
  </si>
  <si>
    <t>H04W 84/18</t>
  </si>
  <si>
    <t>3.38</t>
  </si>
  <si>
    <t>14/255,901</t>
  </si>
  <si>
    <t>Modifying one or more session parameters for a coordinated display session between a plurality of proximate client devices based upon eye movements of a viewing population</t>
  </si>
  <si>
    <t>Sharma; Sandeep|Goel; Amit|Shuman; Mohammed Ataur Rahman|Freiwirth; Raphael Ruben</t>
  </si>
  <si>
    <t>Sharma; Sandeep</t>
  </si>
  <si>
    <t>2013/04/19</t>
  </si>
  <si>
    <t>2014/04/17</t>
  </si>
  <si>
    <t>H04N  5/66</t>
  </si>
  <si>
    <t>G06F3/1423</t>
  </si>
  <si>
    <t>13/962,738</t>
  </si>
  <si>
    <t>Ad-hoc media presentation based upon dynamic discovery of media output devices that are proximate to one or more users</t>
  </si>
  <si>
    <t>Guedalia; Isaac David|Glickfield; Sarah|Pomerantz; Riva</t>
  </si>
  <si>
    <t>Guedalia; Isaac David</t>
  </si>
  <si>
    <t>2012/08/10</t>
  </si>
  <si>
    <t>H04N  7/18</t>
  </si>
  <si>
    <t>14/188,081</t>
  </si>
  <si>
    <t>Collaborative intelligence and decision-making in an IoT device group</t>
  </si>
  <si>
    <t>Goel; Amit|Shuman; Mohammed Ataur Rahman|Gupta; Binita|Aggarwal; Ashutosh|Sharma; Sandeep</t>
  </si>
  <si>
    <t>Goel; Amit</t>
  </si>
  <si>
    <t>2013/02/25</t>
  </si>
  <si>
    <t>2014/02/24</t>
  </si>
  <si>
    <t>G06N</t>
  </si>
  <si>
    <t>G06N  5/04</t>
  </si>
  <si>
    <t>G06Q</t>
  </si>
  <si>
    <t>G06Q10/101</t>
  </si>
  <si>
    <t>US2013/054347</t>
  </si>
  <si>
    <t>GUEDALIA,Isaac,David|GLICKFIELD,Sarah|POMERANTZ,Riva</t>
  </si>
  <si>
    <t>GUEDALIA,Isaac,David</t>
  </si>
  <si>
    <t>2013/08/09</t>
  </si>
  <si>
    <t>2014/02/13</t>
  </si>
  <si>
    <t>US2014/018335</t>
  </si>
  <si>
    <t>Collaborative intelligence and decision-making in an iot device group</t>
  </si>
  <si>
    <t>GOEL,Amit|SHUMAN,Mohammed Ataur Rahman|GUPTA,Binita|AGGARWAL,Ashutosh|SHARMA,Sandeep</t>
  </si>
  <si>
    <t>GOEL,Amit</t>
  </si>
  <si>
    <t>2014/02/25</t>
  </si>
  <si>
    <t>2014/08/28</t>
  </si>
  <si>
    <t>US2014/018369</t>
  </si>
  <si>
    <t>Methods to discover, configure, and leverage relationships in internet of things (iot) networks</t>
  </si>
  <si>
    <t>GUEDALIA,Isaac David|GUEDALIA,Jacob|CHANDHOK,Ravinder Paul|GLICKFIELD,Sarah</t>
  </si>
  <si>
    <t>GUEDALIA,Isaac David</t>
  </si>
  <si>
    <t>WO2014US18335</t>
  </si>
  <si>
    <t>COLLABORATIVE INTELLIGENCE AND DECISION-MAKING IN AN IOT DEVICE GROUP</t>
  </si>
  <si>
    <t>GOEL AMIT|SHUMAN MOHAMMED ATAUR RAHMAN|GUPTA BINITA|AGGARWAL ASHUTOSH|SHARMA SANDEEP</t>
  </si>
  <si>
    <t>GOEL AMIT</t>
  </si>
  <si>
    <t>2014/11/27</t>
  </si>
  <si>
    <t>G06N  7/02</t>
  </si>
  <si>
    <t>CN2010/075317</t>
  </si>
  <si>
    <t>Method and device for processing dynamic system information block</t>
  </si>
  <si>
    <t>中兴通讯|中兴通讯股份有限公司 SHEN,Rongrong</t>
  </si>
  <si>
    <t>SHEN,Rongrong|沈荣荣</t>
  </si>
  <si>
    <t>SHEN,Rongrong</t>
  </si>
  <si>
    <t>2009/10/23</t>
  </si>
  <si>
    <t>2010/07/20</t>
  </si>
  <si>
    <t>2011/04/28</t>
  </si>
  <si>
    <t>H04W  8/00</t>
  </si>
  <si>
    <t>5.6</t>
  </si>
  <si>
    <t>13/547,896</t>
  </si>
  <si>
    <t>Receiving cell broadcast (CB) messages</t>
  </si>
  <si>
    <t>Dhanda; Mungal Singh|Robinson; Nigel Phillip|Gupta; Ajit|Walke; Simon|Janga; Bhanu Kiran|Kanthala; Venkata Raji Reddy|Mutya; Subbarayudu</t>
  </si>
  <si>
    <t>2011/07/15</t>
  </si>
  <si>
    <t>2012/07/12</t>
  </si>
  <si>
    <t>0.37</t>
  </si>
  <si>
    <t>14/313,584</t>
  </si>
  <si>
    <t>14/338,122</t>
  </si>
  <si>
    <t>14/579,256</t>
  </si>
  <si>
    <t>2014/12/22</t>
  </si>
  <si>
    <t>EP20140181611</t>
  </si>
  <si>
    <t>Receiving cell broadcast (CB)messages</t>
  </si>
  <si>
    <t>Dhanda,Mungal Singh|Robinson,Nigel Phillip|Gupta,Ajit|Walke,Simon|Janga,Bhanu Kiran|Kanthala,Venkata Raji Reddy|Mutya,Subbarayudu</t>
  </si>
  <si>
    <t>Dhanda,Mungal Singh</t>
  </si>
  <si>
    <t>2012/07/13</t>
  </si>
  <si>
    <t>2015/01/14</t>
  </si>
  <si>
    <t>H04W  4/06</t>
  </si>
  <si>
    <t>US2012/046736</t>
  </si>
  <si>
    <t>Receiving cell broadcast (cb) messages</t>
  </si>
  <si>
    <t>高通|DHANDA,Mungal Singh|ROBINSON,Nigel Phillip|GUPTA,Ajit|WALKE,Simon|JANGA,Bhanu Kiran|KANTHALA,Venkata Raji Reddy|MUTYA,Subbarayudu</t>
  </si>
  <si>
    <t>高通|dhanda mungal singh|robinson nigel phillip|gupta ajit|walke simon|janga bhanu kiran|kanthala venkata raji reddy|mutya subbarayudu</t>
  </si>
  <si>
    <t>DHANDA,Mungal Singh|ROBINSON,Nigel Phillip|GUPTA,Ajit|WALKE,Simon|JANGA,Bhanu Kiran|KANTHALA,Venkata Raji Reddy|MUTYA,Subbarayudu</t>
  </si>
  <si>
    <t>2013/01/24</t>
  </si>
  <si>
    <t>TW101125400</t>
  </si>
  <si>
    <t>接收细胞服务区广播(CB)讯息</t>
  </si>
  <si>
    <t>丹达蒙哥辛|罗宾森奈杰菲力普|甘普塔阿吉特|渥克赛门|蒋卡巴努齐蓝|慕特亚苏巴拉尤度|坎塔拉凡卡塔拉吉兰迪</t>
  </si>
  <si>
    <t>丹达蒙哥辛</t>
  </si>
  <si>
    <t>2014/12/01</t>
  </si>
  <si>
    <t>H04L 29/02</t>
  </si>
  <si>
    <t>CN200620137568.9</t>
  </si>
  <si>
    <t>一种无线网关设备</t>
  </si>
  <si>
    <t>许昌乐</t>
  </si>
  <si>
    <t>2006/10/19</t>
  </si>
  <si>
    <t>H04L 12/66</t>
  </si>
  <si>
    <t>H04L12/56B</t>
  </si>
  <si>
    <t>实用</t>
  </si>
  <si>
    <t>3.15</t>
  </si>
  <si>
    <t>12/041,655</t>
  </si>
  <si>
    <t>Facilitating power conservation in wireless client terminals</t>
  </si>
  <si>
    <t>2008/03/03</t>
  </si>
  <si>
    <t>H04B  1/38</t>
  </si>
  <si>
    <t>2.26</t>
  </si>
  <si>
    <t>12/759,920</t>
  </si>
  <si>
    <t>Power savings through cooperative operation of multiradio devices</t>
  </si>
  <si>
    <t>Soliman; Samir S.|Chaubey; Nishith|Awoniyi; Olufunmilola O.|Viswanathan; Ramanathan</t>
  </si>
  <si>
    <t>2010/04/14</t>
  </si>
  <si>
    <t>G06F 21/00</t>
  </si>
  <si>
    <t>H04L63/0492</t>
  </si>
  <si>
    <t>0.19</t>
  </si>
  <si>
    <t>12/366,883</t>
  </si>
  <si>
    <t>Partitioned proxy server for facilitating power conservation in wireless client terminals</t>
  </si>
  <si>
    <t>Chaubey; Nishith|Rajamani; Krishnan|Soliman; Samir</t>
  </si>
  <si>
    <t>Chaubey; Nishith</t>
  </si>
  <si>
    <t>2009/02/06</t>
  </si>
  <si>
    <t>12/759,916</t>
  </si>
  <si>
    <t>H04L67/16</t>
  </si>
  <si>
    <t>0.14</t>
  </si>
  <si>
    <t>12/041,649</t>
  </si>
  <si>
    <t>Access point with proxy functionality for facilitating power conservation in wireless client terminals</t>
  </si>
  <si>
    <t>H04W88/04</t>
  </si>
  <si>
    <t>12/041,644</t>
  </si>
  <si>
    <t>Proxy server for facilitating power conservation in wireless client terminals</t>
  </si>
  <si>
    <t>CN200980107375.5</t>
  </si>
  <si>
    <t>有助于实现无线客户机终端省电的代理服务器</t>
  </si>
  <si>
    <t>S·S·索利曼</t>
  </si>
  <si>
    <t>2014/05/28</t>
  </si>
  <si>
    <t>CN01139025.5</t>
  </si>
  <si>
    <t>一种在无线接入系统中实现支持电路业务的方法及装置</t>
  </si>
  <si>
    <t>深圳市中兴通讯股份有限公司上海第二研究所</t>
  </si>
  <si>
    <t>王云峰|张志华|周晓星|李刚|黄建华|范炯毅</t>
  </si>
  <si>
    <t>王云峰</t>
  </si>
  <si>
    <t>2001/11/30</t>
  </si>
  <si>
    <t>2003/06/11</t>
  </si>
  <si>
    <t>H04Q11/04S2</t>
  </si>
  <si>
    <t>2.79</t>
  </si>
  <si>
    <t>13/555,174</t>
  </si>
  <si>
    <t>Method, apparatus, and system for multiplexing protocol data units</t>
  </si>
  <si>
    <t>Ketchum; John Wendell|Walton; Jay Rodney|Nanda; Sanjiv</t>
  </si>
  <si>
    <t>Ketchum; John Wendell</t>
  </si>
  <si>
    <t>2003/10/15</t>
  </si>
  <si>
    <t>2012/07/22</t>
  </si>
  <si>
    <t>H04L29/06</t>
  </si>
  <si>
    <t>10/964,330</t>
  </si>
  <si>
    <t>High speed media access control with legacy system interoperability</t>
  </si>
  <si>
    <t>Walton; Jay Rodney|Ketchum; John W.|Nanda; Sanjiv</t>
  </si>
  <si>
    <t>2004/10/13</t>
  </si>
  <si>
    <t>H04L12/66</t>
  </si>
  <si>
    <t>12/882,945</t>
  </si>
  <si>
    <t>Distributed hierarchical scheduling in an ad hoc network</t>
  </si>
  <si>
    <t>Nanda; Sanjiv|Walton; J. Rodney</t>
  </si>
  <si>
    <t>2004/01/29</t>
  </si>
  <si>
    <t>2014/12/02</t>
  </si>
  <si>
    <t>13/533,725</t>
  </si>
  <si>
    <t>High speed media access control and direct link protocol</t>
  </si>
  <si>
    <t>Walton; Jay Rodney|Nanda; Sanjiv</t>
  </si>
  <si>
    <t>13/920,887</t>
  </si>
  <si>
    <t>High speed media access control</t>
  </si>
  <si>
    <t>Nanda; Sanjiv|Meylan; Arnaud|Walton; Jay Rodney</t>
  </si>
  <si>
    <t>H04L29/06068</t>
  </si>
  <si>
    <t>13/440,666</t>
  </si>
  <si>
    <t>Scheduling with reverse direction grant in wireless communication systems</t>
  </si>
  <si>
    <t>Meylan; Arnaud|Nanda; Sanjiv</t>
  </si>
  <si>
    <t>Meylan; Arnaud</t>
  </si>
  <si>
    <t>2005/09/12</t>
  </si>
  <si>
    <t>2012/04/05</t>
  </si>
  <si>
    <t>2015/11/24</t>
  </si>
  <si>
    <t>H04B  1/14</t>
  </si>
  <si>
    <t>H04W74/06</t>
  </si>
  <si>
    <t>13/648,052</t>
  </si>
  <si>
    <t>Method, apparatus, and system for medium access control</t>
  </si>
  <si>
    <t>Ketchum; John W.|Wallace; Mark S.|Walton; Jay Rodney|Nanda; Sanjiv</t>
  </si>
  <si>
    <t>2012/10/09</t>
  </si>
  <si>
    <t>H04W72/12</t>
  </si>
  <si>
    <t>11/184039</t>
  </si>
  <si>
    <t>Subcarrier cluster-based power control in wireless communications</t>
  </si>
  <si>
    <t>Cai; Sean|Hou; Jason|Wang; Jing|Feng; Dazi|Chion; Mary|Han; Jun</t>
  </si>
  <si>
    <t>2004/10/20</t>
  </si>
  <si>
    <t>2005/10/20</t>
  </si>
  <si>
    <t>2006/05/25</t>
  </si>
  <si>
    <t>19.77</t>
  </si>
  <si>
    <t>12/443,796</t>
  </si>
  <si>
    <t>Unified design and centralized scheduling for dynamic SIMO, SU-MIMO and MU-MIMO operation for RL transmissions</t>
  </si>
  <si>
    <t>Xu; Hao|Malladi; Durga Prasad</t>
  </si>
  <si>
    <t>Xu; Hao</t>
  </si>
  <si>
    <t>2006/10/31</t>
  </si>
  <si>
    <t>2013/10/08</t>
  </si>
  <si>
    <t>H04B7/0613</t>
  </si>
  <si>
    <t>1.29</t>
  </si>
  <si>
    <t>11/553,870</t>
  </si>
  <si>
    <t>Precoding for segment sensitive scheduling in wireless communication systems</t>
  </si>
  <si>
    <t>Gore; Dhananjay Ashok|Sampath; Hemanth|Wang; Jibing|Kadous; Tamer|Barriac; Gwendolyn D.</t>
  </si>
  <si>
    <t>2006/10/27</t>
  </si>
  <si>
    <t>H04L1/0016</t>
  </si>
  <si>
    <t>1.12</t>
  </si>
  <si>
    <t>13/917,461</t>
  </si>
  <si>
    <t>2013/06/13</t>
  </si>
  <si>
    <t>2014/03/18</t>
  </si>
  <si>
    <t>11/841,549</t>
  </si>
  <si>
    <t>Feedback of precoding control indication (PCI) and channel quality indication (CQI) in a wireless communication system</t>
  </si>
  <si>
    <t>Blanz; Josef J.|Fernandez-Corbaton; Ivan Jesus</t>
  </si>
  <si>
    <t>Blanz; Josef J.</t>
  </si>
  <si>
    <t>2006/08/18</t>
  </si>
  <si>
    <t>2007/08/20</t>
  </si>
  <si>
    <t>2014/04/15</t>
  </si>
  <si>
    <t>H04B7/0619</t>
  </si>
  <si>
    <t>0.25</t>
  </si>
  <si>
    <t>14/134,528</t>
  </si>
  <si>
    <t>2013/12/19</t>
  </si>
  <si>
    <t>2015/03/03</t>
  </si>
  <si>
    <t>12/966,934</t>
  </si>
  <si>
    <t>Flexible uplink control channel configuration</t>
  </si>
  <si>
    <t>Bharadwaj; Arjun|Sambhwani; Sharad Deepak</t>
  </si>
  <si>
    <t>Bharadwaj; Arjun</t>
  </si>
  <si>
    <t>2010/02/12</t>
  </si>
  <si>
    <t>2010/12/13</t>
  </si>
  <si>
    <t>2015/06/16</t>
  </si>
  <si>
    <t>H04L1/0026</t>
  </si>
  <si>
    <t>TW096130598</t>
  </si>
  <si>
    <t>无线通讯系统中预编码控制标示（ＰＣＩ）及频道品质标示（ＣＱＩ）之回馈</t>
  </si>
  <si>
    <t>杰瑟Ｊ　布兰兹|艾文　吉瑟斯　福南迪　寇伯敦</t>
  </si>
  <si>
    <t>杰瑟Ｊ　布兰兹</t>
  </si>
  <si>
    <t>2012/09/21</t>
  </si>
  <si>
    <t>TW</t>
  </si>
  <si>
    <t>US2008/069377</t>
  </si>
  <si>
    <t>Resource allocation in wireless multi-hop relay networks</t>
  </si>
  <si>
    <t>中兴通讯|CHION,Hua Mary|CHOW,Jerry Pak Lup|QU,Hongyun</t>
  </si>
  <si>
    <t>中兴通讯|chion hua mary|chow jerry pak lup|qu hongyun</t>
  </si>
  <si>
    <t>CHION,Hua Mary|CHOW,Jerry Pak Lup|QU,Hongyun</t>
  </si>
  <si>
    <t>CHION,Hua Mary</t>
  </si>
  <si>
    <t>2007/07/06</t>
  </si>
  <si>
    <t>2009/01/15</t>
  </si>
  <si>
    <t>H04B  7/26</t>
  </si>
  <si>
    <t>15.46</t>
  </si>
  <si>
    <t>12/725,146</t>
  </si>
  <si>
    <t>Association and resource partitioning in a wireless network with relays</t>
  </si>
  <si>
    <t>Borran; Mohammad J.|Khandekar; Aamod D.</t>
  </si>
  <si>
    <t>2009/03/19</t>
  </si>
  <si>
    <t>H04W16/02</t>
  </si>
  <si>
    <t>0.40</t>
  </si>
  <si>
    <t>12/822,112</t>
  </si>
  <si>
    <t>Positioning in the presence of passive distributed elements</t>
  </si>
  <si>
    <t>Khandekar; Aamod Dinkar|Palanki; Ravi|Sampath; Ashwin|Bhushan; Naga|Bachu; Raja Sekhar</t>
  </si>
  <si>
    <t>2009/06/26</t>
  </si>
  <si>
    <t>2010/06/23</t>
  </si>
  <si>
    <t>G01S</t>
  </si>
  <si>
    <t>G01S  5/02</t>
  </si>
  <si>
    <t>G01S5/0273</t>
  </si>
  <si>
    <t>12/763,742</t>
  </si>
  <si>
    <t>Enabling support for transparent relays in wireless communication</t>
  </si>
  <si>
    <t>Khandekar; Aamod Dinkar|Palanki; Ravi|Gorokhov; Alexei Yurievitch</t>
  </si>
  <si>
    <t>2009/04/21</t>
  </si>
  <si>
    <t>2010/04/20</t>
  </si>
  <si>
    <t>H04W72/0433</t>
  </si>
  <si>
    <t>14/047,788</t>
  </si>
  <si>
    <t>Borran; Jaber Mohammad|Khandekar; Aamod Dinkar</t>
  </si>
  <si>
    <t>Borran; Jaber Mohammad</t>
  </si>
  <si>
    <t>2013/10/07</t>
  </si>
  <si>
    <t>2017/04/25</t>
  </si>
  <si>
    <t>H04W 16/02</t>
  </si>
  <si>
    <t>US2010/031957</t>
  </si>
  <si>
    <t>高通|KHANDEKAR,Aamod,Dinkar|PALANKI,Ravi|GOROKHOV,Alexei,Yurievitch</t>
  </si>
  <si>
    <t>高通|khandekar aamod dinkar|palanki ravi|gorokhov alexei yurievitch</t>
  </si>
  <si>
    <t>KHANDEKAR,Aamod,Dinkar|PALANKI,Ravi|GOROKHOV,Alexei,Yurievitch</t>
  </si>
  <si>
    <t>KHANDEKAR,Aamod,Dinkar</t>
  </si>
  <si>
    <t>2010/04/21</t>
  </si>
  <si>
    <t>2010/10/28</t>
  </si>
  <si>
    <t>H04W 84/04</t>
  </si>
  <si>
    <t>US2015/026530</t>
  </si>
  <si>
    <t>DISCOVERY OF MULTI-HOP CAPABILITIES AND ROUTING ON A PER LINK BASIS</t>
  </si>
  <si>
    <t>CHAPONNIERE,Etienne Francois|SMEE,John Edward|GAAL,Peter|JI,Tingfang</t>
  </si>
  <si>
    <t>CHAPONNIERE,Etienne Francois</t>
  </si>
  <si>
    <t>2014/06/02</t>
  </si>
  <si>
    <t>2015/04/17</t>
  </si>
  <si>
    <t>2015/12/10</t>
  </si>
  <si>
    <t>EP20110774369</t>
  </si>
  <si>
    <t>Method and system for controlling access of machine type communications devices</t>
  </si>
  <si>
    <t>ZHI CHUNXIA|WU HAO|LI ZHIJUN|LI LANLAN|XIE BAOGUO</t>
  </si>
  <si>
    <t>ZHI CHUNXIA</t>
  </si>
  <si>
    <t>2011/04/25</t>
  </si>
  <si>
    <t>2013/02/06</t>
  </si>
  <si>
    <t>H04W 48/00</t>
  </si>
  <si>
    <t>H04W48/06</t>
  </si>
  <si>
    <t>EP20060805235</t>
  </si>
  <si>
    <t>A realization method for harq in multiple frequency points cell</t>
  </si>
  <si>
    <t>MA ZIJIANG|MA ZHIFENG|ZHANG YINCHENG|LI DAPENG</t>
  </si>
  <si>
    <t>MA ZIJIANG</t>
  </si>
  <si>
    <t>2005/11/16</t>
  </si>
  <si>
    <t>2006/11/14</t>
  </si>
  <si>
    <t>2008/07/30</t>
  </si>
  <si>
    <t>H04L  1/18</t>
  </si>
  <si>
    <t>H04L1/1819</t>
  </si>
  <si>
    <t>1.66</t>
  </si>
  <si>
    <t>13/563,285</t>
  </si>
  <si>
    <t>Methods and apparatuses for network configuration of user equipment communication modes in multiflow systems</t>
  </si>
  <si>
    <t>Zhang; Danlu|Kapoor; Rohit|Sambhwani; Sharad Deepak|Sharma; Prashanth|Mohanty; Bibhu Prasad</t>
  </si>
  <si>
    <t>2011/08/03</t>
  </si>
  <si>
    <t>2014/05/27</t>
  </si>
  <si>
    <t>H04W76/025</t>
  </si>
  <si>
    <t>13/169,874</t>
  </si>
  <si>
    <t>System and method for multi-point HSDPA communication utilizing a multi-link RLC sublayer</t>
  </si>
  <si>
    <t>Zhang; Danlu|Sambhwani; Sharad Deepak|Kapoor; Rohit|Hou; Jilei|Ge; Weiyan</t>
  </si>
  <si>
    <t>2010/06/28</t>
  </si>
  <si>
    <t>2014/11/18</t>
  </si>
  <si>
    <t>H04L1/1874</t>
  </si>
  <si>
    <t>13/291,037</t>
  </si>
  <si>
    <t>System and method for multi-point HSDPA communication utilizing a multi-link PDCP sublayer</t>
  </si>
  <si>
    <t>Zhang; Danlu|Kapoor; Rohit|Mohanty; Bibhu Prasad|Ge; Weiyan|Hou; Jilei</t>
  </si>
  <si>
    <t>2010/11/08</t>
  </si>
  <si>
    <t>2011/11/07</t>
  </si>
  <si>
    <t>H04L1/08</t>
  </si>
  <si>
    <t>13/170,083</t>
  </si>
  <si>
    <t>System and method for mobility in a multi-point HSDPA communication network</t>
  </si>
  <si>
    <t>H04W36/0083</t>
  </si>
  <si>
    <t>13/563,162</t>
  </si>
  <si>
    <t>Method and apparatus for flow congestion control in multiflow networks</t>
  </si>
  <si>
    <t>Zhang; Danlu|Ge; Weiyan|Kapoor; Rohit|Mohanty; Bibhu Prasad|Sambhwani; Sharad Deepak</t>
  </si>
  <si>
    <t>H04W 28/10</t>
  </si>
  <si>
    <t>US2012/049519</t>
  </si>
  <si>
    <t>高通|ZHANG,Danlu|KAPOOR,Rohit|SAMBHWANI,Sharad Deepak|SHARMA,Prashanth|MOHANTY,Bibhu Prasad</t>
  </si>
  <si>
    <t>高通|zhang danlu|kapoor rohit|sambhwani sharad deepak|sharma prashanth|mohanty bibhu prasad</t>
  </si>
  <si>
    <t>ZHANG,Danlu|KAPOOR,Rohit|SAMBHWANI,Sharad Deepak|SHARMA,Prashanth|MOHANTY,Bibhu Prasad</t>
  </si>
  <si>
    <t>ZHANG,Danlu</t>
  </si>
  <si>
    <t>2012/08/03</t>
  </si>
  <si>
    <t>2013/02/07</t>
  </si>
  <si>
    <t>H04W 76/02</t>
  </si>
  <si>
    <t>CN201110089643.4</t>
  </si>
  <si>
    <t>一种对应用进行监控的方法及系统</t>
  </si>
  <si>
    <t>刘雪芹</t>
  </si>
  <si>
    <t>2011/09/14</t>
  </si>
  <si>
    <t>H04W 12/00</t>
  </si>
  <si>
    <t>5.97</t>
  </si>
  <si>
    <t>13/490,408</t>
  </si>
  <si>
    <t>Systems and methods for monitoring of background application events</t>
  </si>
  <si>
    <t>Meylan; Arnaud|Ben-Zur; Liat|Giaretta; Gerardo|Shah; Tejash R.</t>
  </si>
  <si>
    <t>2011/08/29</t>
  </si>
  <si>
    <t>2012/06/06</t>
  </si>
  <si>
    <t>H04W48/08</t>
  </si>
  <si>
    <t>13/288,928</t>
  </si>
  <si>
    <t>Systems and methods for synchronization of application communications</t>
  </si>
  <si>
    <t>Kondratiev; Vladimir</t>
  </si>
  <si>
    <t>H04L67/325</t>
  </si>
  <si>
    <t>13/288,933</t>
  </si>
  <si>
    <t>Management of network access requests</t>
  </si>
  <si>
    <t>Giaretta; Gerardo|Sundararajan; Jay Kumar|Goel; Satashu|Meylan; Arnaud|Sahu; Debesh Kumar|Jain; Sachin|Payyappilly; Ajith Tom|Shah; Tejash Rajnikant|Casaccia; Lorenzo|Flore; Dino</t>
  </si>
  <si>
    <t>Giaretta; Gerardo</t>
  </si>
  <si>
    <t>H04W4/16</t>
  </si>
  <si>
    <t>13/371,244</t>
  </si>
  <si>
    <t>Offloading of data to wireless local area network</t>
  </si>
  <si>
    <t>Meylan; Arnaud|Shah; Tejash Rajnikant|Sundararajan; Jay Kumar</t>
  </si>
  <si>
    <t>2011/04/22</t>
  </si>
  <si>
    <t>2012/02/10</t>
  </si>
  <si>
    <t>H04W 88/06</t>
  </si>
  <si>
    <t>H04W4/003</t>
  </si>
  <si>
    <t>13/028,081</t>
  </si>
  <si>
    <t>Methods and apparatus providing intelligent radio selection for legacy and non-legacy applications</t>
  </si>
  <si>
    <t>Giaretta; Gerardo|Craig; David William|Laganier; Julien H.|Jin; Haipeng|Sundararajan; Jay Kumar|Ahmavaara; Kalle Ilmari|Tsirtsis; Georgios</t>
  </si>
  <si>
    <t>H04W 48/18</t>
  </si>
  <si>
    <t>H04W48/18</t>
  </si>
  <si>
    <t>CN201280055443.X</t>
  </si>
  <si>
    <t>用于管理后台应用事件的系统和方法</t>
  </si>
  <si>
    <t>G·贾雷塔|A·梅朗</t>
  </si>
  <si>
    <t>G·贾雷塔</t>
  </si>
  <si>
    <t>2011/10/05</t>
  </si>
  <si>
    <t>2012/10/05</t>
  </si>
  <si>
    <t>2016/07/06</t>
  </si>
  <si>
    <t>CN200810089265.8</t>
  </si>
  <si>
    <t>一种改善双模终端射频干扰的电路与方法</t>
  </si>
  <si>
    <t>秦  宇|程守刚</t>
  </si>
  <si>
    <t>秦  宇</t>
  </si>
  <si>
    <t>2008/04/25</t>
  </si>
  <si>
    <t>2008/09/10</t>
  </si>
  <si>
    <t>H04Q  7/32</t>
  </si>
  <si>
    <t>H04B1/40C4</t>
  </si>
  <si>
    <t>8.85</t>
  </si>
  <si>
    <t>13/089,976</t>
  </si>
  <si>
    <t>Mobile device requests of non-communication time periods to a wireless communication network</t>
  </si>
  <si>
    <t>Mutya; Subbarayudu|Sanka; Suresh</t>
  </si>
  <si>
    <t>Mutya; Subbarayudu</t>
  </si>
  <si>
    <t>2011/01/25</t>
  </si>
  <si>
    <t>2011/04/19</t>
  </si>
  <si>
    <t>H04W  8/18</t>
  </si>
  <si>
    <t>H04W76/048</t>
  </si>
  <si>
    <t>13/580,950</t>
  </si>
  <si>
    <t>Apparatus and method for interference mitigation</t>
  </si>
  <si>
    <t>Li; Yan|Gao; Lu</t>
  </si>
  <si>
    <t>Li; Yan</t>
  </si>
  <si>
    <t>2010/03/17</t>
  </si>
  <si>
    <t>2010/03/30</t>
  </si>
  <si>
    <t>H04B  1/10</t>
  </si>
  <si>
    <t>13/577,907</t>
  </si>
  <si>
    <t>Reducing in-device interference between multiple wireless communications of a multi-mode mobile device</t>
  </si>
  <si>
    <t>H04W 24/02</t>
  </si>
  <si>
    <t>CN2010/071103</t>
  </si>
  <si>
    <t>高通|LI,Yan|GAO,Lu</t>
  </si>
  <si>
    <t>高通|li yan|gao lu</t>
  </si>
  <si>
    <t>LI,Yan|GAO,Lu</t>
  </si>
  <si>
    <t>LI,Yan</t>
  </si>
  <si>
    <t>2011/09/22</t>
  </si>
  <si>
    <t>CN2010/071417</t>
  </si>
  <si>
    <t>CN201080065508.X</t>
  </si>
  <si>
    <t>用于减轻干扰的装置和方法</t>
  </si>
  <si>
    <t>Y·李|L·高</t>
  </si>
  <si>
    <t>Y·李</t>
  </si>
  <si>
    <t>2015/05/20</t>
  </si>
  <si>
    <t>CN200810085775.8</t>
  </si>
  <si>
    <t>异构多核体系中主引导核的自动选举方法</t>
  </si>
  <si>
    <t>杨  凡</t>
  </si>
  <si>
    <t>2008/03/20</t>
  </si>
  <si>
    <t>2008/09/03</t>
  </si>
  <si>
    <t>G06F  9/46</t>
  </si>
  <si>
    <t>G06F1/32P</t>
  </si>
  <si>
    <t>3.59</t>
  </si>
  <si>
    <t>12/645,077</t>
  </si>
  <si>
    <t>System and method of managing power at a portable computing device and a portable computing device docking station</t>
  </si>
  <si>
    <t>Collopy; Thomas Kevin|Gill; Manjit Singh|Tessitore; Ronald J.|Pineda; Luis</t>
  </si>
  <si>
    <t>Collopy; Thomas Kevin</t>
  </si>
  <si>
    <t>2009/03/27</t>
  </si>
  <si>
    <t>2009/12/22</t>
  </si>
  <si>
    <t>2014/02/18</t>
  </si>
  <si>
    <t>H02J</t>
  </si>
  <si>
    <t>H02J  7/00</t>
  </si>
  <si>
    <t>G06F1/1624</t>
  </si>
  <si>
    <t>12/645,707</t>
  </si>
  <si>
    <t>System and method of providing scalable computing between a portable computing device and a portable computing device docking station</t>
  </si>
  <si>
    <t>Gill; Manjit Singh|Collopy; Thomas Kevin|Tessitore; Ronald J.</t>
  </si>
  <si>
    <t>Gill; Manjit Singh</t>
  </si>
  <si>
    <t>2014/04/22</t>
  </si>
  <si>
    <t>G06F  1/00</t>
  </si>
  <si>
    <t>G06F1/1632</t>
  </si>
  <si>
    <t>0.54</t>
  </si>
  <si>
    <t>12/644,757</t>
  </si>
  <si>
    <t>System and method of managing security between a portable computing device and a portable computing device docking station</t>
  </si>
  <si>
    <t>Collopy; Thomas Kevin|Gill; Manjit Singh</t>
  </si>
  <si>
    <t>G06F  1/16</t>
  </si>
  <si>
    <t>13/755,818</t>
  </si>
  <si>
    <t>2013/01/31</t>
  </si>
  <si>
    <t>G06F1/26</t>
  </si>
  <si>
    <t>12/645,055</t>
  </si>
  <si>
    <t>System and method of managing displays at a portable computing device and a portable computing device docking station</t>
  </si>
  <si>
    <t>Collopy; Thomas Kevin|Tessitore; Ronald J.</t>
  </si>
  <si>
    <t>G06F 13/00</t>
  </si>
  <si>
    <t>G06F3/04886</t>
  </si>
  <si>
    <t>CN201080014117.5</t>
  </si>
  <si>
    <t>提供便携式计算装置和便携式计算装置对接台之间的可缩放计算的系统和方法</t>
  </si>
  <si>
    <t>曼吉特·辛格·吉尔|托马斯·凯文·科洛皮|罗纳德·J·泰西托雷</t>
  </si>
  <si>
    <t>曼吉特·辛格·吉尔</t>
  </si>
  <si>
    <t>2010/02/17</t>
  </si>
  <si>
    <t>2014/05/14</t>
  </si>
  <si>
    <t>G06F  9/06</t>
  </si>
  <si>
    <t>CN200510101926.0</t>
  </si>
  <si>
    <t>双模终端中个人无线市话系统通信控制的方法</t>
  </si>
  <si>
    <t>张振宇|程  琼|仝庆贻</t>
  </si>
  <si>
    <t>张振宇</t>
  </si>
  <si>
    <t>2005/12/02</t>
  </si>
  <si>
    <t>2007/06/13</t>
  </si>
  <si>
    <t>H04Q7/38W</t>
  </si>
  <si>
    <t>0.44</t>
  </si>
  <si>
    <t>12/775,380</t>
  </si>
  <si>
    <t>Allocating transmit power among multiple air interfaces</t>
  </si>
  <si>
    <t>Hu; Jun|Lin; Yu-Chuan|Shahidi; Reza|Ramasami; Vijaya C.|Garach; Ravindra M.</t>
  </si>
  <si>
    <t>Hu; Jun</t>
  </si>
  <si>
    <t>2010/05/06</t>
  </si>
  <si>
    <t>H01Q</t>
  </si>
  <si>
    <t>H01Q 11/12</t>
  </si>
  <si>
    <t>H04W72/044</t>
  </si>
  <si>
    <t>12/779,804</t>
  </si>
  <si>
    <t>System and method for simultaneous operation of multiple modems using a single transceiver</t>
  </si>
  <si>
    <t>Lie; Gregory R.|Shahidi; Reza|Rick; Roland R.|Joshi; Abhay A.|Mahajan; Amit|Lin; Yu-Chuan|Ciccarelli; Steve C.</t>
  </si>
  <si>
    <t>Lie; Gregory R.</t>
  </si>
  <si>
    <t>2010/05/13</t>
  </si>
  <si>
    <t>H04B1/28</t>
  </si>
  <si>
    <t>12/775,323</t>
  </si>
  <si>
    <t>System and method for resolving conflicts between air interfaces in a wireless communication system</t>
  </si>
  <si>
    <t>Hu; Jun|Shahidi; Reza|Lie; Gregory R.|Garach; Ravindra M.|Ju; Shian-De|Lin; Yu-Chuan</t>
  </si>
  <si>
    <t>12/775,407</t>
  </si>
  <si>
    <t>System and method for dropping and adding an air interface in a wireless communication system</t>
  </si>
  <si>
    <t>Hu; Jun|Lin; Yu-Chuan|Shahidi; Reza|Mahajan; Amit|George; Brian M.</t>
  </si>
  <si>
    <t>H04W72/0473</t>
  </si>
  <si>
    <t>14/309,306</t>
  </si>
  <si>
    <t>Hu; Jun|Lin; Yu-Chuan|Shahidi; Reza|Ramasami; Vijaya Chandran|Garach; Ravindra Mahendrakumar</t>
  </si>
  <si>
    <t>2014/06/19</t>
  </si>
  <si>
    <t>CN201080020979.9</t>
  </si>
  <si>
    <t>用于在无线通信系统中解决空中接口之间的冲突的系统和方法</t>
  </si>
  <si>
    <t>胡军|礼萨·沙希迪|格雷戈里·R·利|拉温德拉·M·加拉什|紫安-德·寿|林雨川</t>
  </si>
  <si>
    <t>胡军</t>
  </si>
  <si>
    <t>2010/05/07</t>
  </si>
  <si>
    <t>2016/01/20</t>
  </si>
  <si>
    <t>CN200410027903.5</t>
  </si>
  <si>
    <t>TD－SCDMA系统室外单元与室内单元实现同步的方法与装置</t>
  </si>
  <si>
    <t>王文焕|王长明|曾召华</t>
  </si>
  <si>
    <t>王文焕</t>
  </si>
  <si>
    <t>2004/06/30</t>
  </si>
  <si>
    <t>H04B1/707</t>
  </si>
  <si>
    <t>5.53</t>
  </si>
  <si>
    <t>12/561,844</t>
  </si>
  <si>
    <t>Synchronizing a base station in a wireless communication system</t>
  </si>
  <si>
    <t>Palanki; Ravi|Agashe; Parag A.|Gupta; Vikram|Gupta; Rajarshi|Bhushan; Naga</t>
  </si>
  <si>
    <t>2008/09/19</t>
  </si>
  <si>
    <t>2013/12/24</t>
  </si>
  <si>
    <t>H04W56/0015</t>
  </si>
  <si>
    <t>2.90</t>
  </si>
  <si>
    <t>12/876,970</t>
  </si>
  <si>
    <t>Concurrent wireless transmitter mapping and mobile station positioning</t>
  </si>
  <si>
    <t>Garin; Lionel J.|Do; Ju-Yong|Zhang; Gengsheng</t>
  </si>
  <si>
    <t>Garin; Lionel J.</t>
  </si>
  <si>
    <t>2009/09/10</t>
  </si>
  <si>
    <t>2010/09/07</t>
  </si>
  <si>
    <t>G01S5/0289</t>
  </si>
  <si>
    <t>12/651,838</t>
  </si>
  <si>
    <t>Hearability improvements for reference signals</t>
  </si>
  <si>
    <t>Agrawal; Avneesh|Sampath; Ashwin|Palanki; Ravi|Bhushan; Naga|Bachu; Raja Sekhar|Khandekar; Aamod D.</t>
  </si>
  <si>
    <t>2009/01/06</t>
  </si>
  <si>
    <t>2010/01/04</t>
  </si>
  <si>
    <t>0.88</t>
  </si>
  <si>
    <t>14/081,893</t>
  </si>
  <si>
    <t>Palanki; Ravi|Agashe; Parag Arun|Gupta; Vikram|Gupta; Rajarshi|Bhushan; Naga</t>
  </si>
  <si>
    <t>2013/11/15</t>
  </si>
  <si>
    <t>13/172,818</t>
  </si>
  <si>
    <t>Determination of positions of wireless transceivers to be added to a wireless communication network</t>
  </si>
  <si>
    <t>Fischer; Sven|Amin; Muhammad Awais|Palanki; Ravi</t>
  </si>
  <si>
    <t>Fischer; Sven</t>
  </si>
  <si>
    <t>2010/07/01</t>
  </si>
  <si>
    <t>2011/06/29</t>
  </si>
  <si>
    <t>2015/07/28</t>
  </si>
  <si>
    <t>H04W 24/10</t>
  </si>
  <si>
    <t>CN200980136456.8</t>
  </si>
  <si>
    <t>对无线通信系统中的基站进行同步</t>
  </si>
  <si>
    <t>R·保兰基|P·A·阿加什|V·古普塔|R·古普塔|N·布尚</t>
  </si>
  <si>
    <t>R·保兰基</t>
  </si>
  <si>
    <t>2009/09/18</t>
  </si>
  <si>
    <t>2014/09/17</t>
  </si>
  <si>
    <t>H04W 56/00</t>
  </si>
  <si>
    <t>12/605,286</t>
  </si>
  <si>
    <t>Femto Cell Handover In Wireless Communications</t>
  </si>
  <si>
    <t>So; Tricci|Chow; Jerry Pak Lup|Song; Jianquan|Chu; Li|Luo; Wen|Tu; Yangwei</t>
  </si>
  <si>
    <t>So; Tricci</t>
  </si>
  <si>
    <t>2008/10/23</t>
  </si>
  <si>
    <t>2010/05/27</t>
  </si>
  <si>
    <t>H04W36/08</t>
  </si>
  <si>
    <t>7.60</t>
  </si>
  <si>
    <t>公开</t>
  </si>
  <si>
    <t>12/475,188</t>
  </si>
  <si>
    <t>Non-macro cell search integrated with macro-cellular RF carrier monitoring</t>
  </si>
  <si>
    <t>Gogic; Aleksandar M.|Rick; Roland R.|Glazko; Serguei A.|Bhushan; Naga</t>
  </si>
  <si>
    <t>2009/05/29</t>
  </si>
  <si>
    <t>12/272,672</t>
  </si>
  <si>
    <t>Configuring an identifier for an access point</t>
  </si>
  <si>
    <t>Gupta; Rajarshi|Khandekar; Aamod D.|Horn; Gavin B.|Agashe; Parag A.|Tinnakornsrisuphap; Peerapol|Palanki; Ravi|Prakash; Rajat</t>
  </si>
  <si>
    <t>Gupta; Rajarshi</t>
  </si>
  <si>
    <t>2007/11/19</t>
  </si>
  <si>
    <t>2008/11/17</t>
  </si>
  <si>
    <t>13/106,725</t>
  </si>
  <si>
    <t>Method and apparatus for updating femtocell proximity information</t>
  </si>
  <si>
    <t>Zhou; Yan|Singh; Damanjit|Meshkati; Farhad|Yavuz; Mehmet</t>
  </si>
  <si>
    <t>Zhou; Yan</t>
  </si>
  <si>
    <t>2010/05/14</t>
  </si>
  <si>
    <t>2011/05/12</t>
  </si>
  <si>
    <t>2014/12/30</t>
  </si>
  <si>
    <t>12/248,247</t>
  </si>
  <si>
    <t>System and method to locate femto cells with passive assistance from a macro cellular wireless network</t>
  </si>
  <si>
    <t>2007/10/12</t>
  </si>
  <si>
    <t>2008/10/09</t>
  </si>
  <si>
    <t>H04W48/20</t>
  </si>
  <si>
    <t>13/460,657</t>
  </si>
  <si>
    <t>Method and apparatus for creating a fingerprint for a wireless network</t>
  </si>
  <si>
    <t>Gogic; Aleksandar|Deshpande; Manoj M.|Jain; Nikhil|Nanda; Sanjiv</t>
  </si>
  <si>
    <t>Gogic; Aleksandar</t>
  </si>
  <si>
    <t>2012/04/30</t>
  </si>
  <si>
    <t>H04W64/00</t>
  </si>
  <si>
    <t>12/265,565</t>
  </si>
  <si>
    <t>Access point configuration based on received access point signals</t>
  </si>
  <si>
    <t>2008/11/05</t>
  </si>
  <si>
    <t>H04W 88/08</t>
  </si>
  <si>
    <t>CN2012/075806</t>
  </si>
  <si>
    <t>Method and device for adjusting transmission power of mobile terminal</t>
  </si>
  <si>
    <t>中兴通讯|CHE ZHONGHUI|SONG XIN|LI HONGJUAN|HU LESHEN</t>
  </si>
  <si>
    <t>CHE,Zhonghui|车忠辉|SONG,Xin|宋欣</t>
  </si>
  <si>
    <t>CHE,Zhonghui</t>
  </si>
  <si>
    <t>2011/08/26</t>
  </si>
  <si>
    <t>2012/05/21</t>
  </si>
  <si>
    <t>14/244,346</t>
  </si>
  <si>
    <t>Random access using predictive mobility</t>
  </si>
  <si>
    <t>Kilpatrick, II; Thomas|Awoniyi-Oteri; Olufunmilola|Sarajedini; Amir|Quick, Jr.; Roy Franklin|Lundqvist; Patrik Nils</t>
  </si>
  <si>
    <t>Kilpatrick, II; Thomas</t>
  </si>
  <si>
    <t>2014/04/03</t>
  </si>
  <si>
    <t>2016/08/09</t>
  </si>
  <si>
    <t>14/211,249</t>
  </si>
  <si>
    <t>Handover and reselection searching using predictive mobility</t>
  </si>
  <si>
    <t>Kilpatrick, II; Thomas|Quick, Jr.; Roy Franklin|Awoniyi-Oteri; Olufunmilola</t>
  </si>
  <si>
    <t>2013/07/31</t>
  </si>
  <si>
    <t>2014/03/14</t>
  </si>
  <si>
    <t>US2014/047453</t>
  </si>
  <si>
    <t>Laser blanking device and machining method using same</t>
  </si>
  <si>
    <t>KILPATRICK,II,Thomas|AWONIYI-OTERI,Olufunmilola|SARAJEDINI,Amir|QUICK,JR.,Roy,Franklin|LUNDQVIST,Patrik,Nils</t>
  </si>
  <si>
    <t>KILPATRICK,II,Thomas</t>
  </si>
  <si>
    <t>2014/07/21</t>
  </si>
  <si>
    <t>2015/02/05</t>
  </si>
  <si>
    <t>H04W 52/32</t>
  </si>
  <si>
    <t>CN2009/072773</t>
  </si>
  <si>
    <t>A semi-persistent scheduling method</t>
  </si>
  <si>
    <t>中兴通讯|中兴通讯股份有限公司 HUANG,Yada</t>
  </si>
  <si>
    <t>HUANG,Yada|黄亚达</t>
  </si>
  <si>
    <t>HUANG,Yada</t>
  </si>
  <si>
    <t>2008/08/06</t>
  </si>
  <si>
    <t>2009/07/15</t>
  </si>
  <si>
    <t>2010/02/11</t>
  </si>
  <si>
    <t>H04W 28/00</t>
  </si>
  <si>
    <t>13/087,170</t>
  </si>
  <si>
    <t>Semi-persistent scheduling grants in heterogeneous networks</t>
  </si>
  <si>
    <t>Barbieri; Alan|Xu; Hao|Vajapeyam; Madhavan Srinivasan|Damnjanovic; Aleksandar</t>
  </si>
  <si>
    <t>2011/04/14</t>
  </si>
  <si>
    <t>H04W16/14</t>
  </si>
  <si>
    <t>0.71</t>
  </si>
  <si>
    <t>13/974,954</t>
  </si>
  <si>
    <t>2013/08/23</t>
  </si>
  <si>
    <t>H04J3/1694</t>
  </si>
  <si>
    <t>US2011/033310</t>
  </si>
  <si>
    <t>高通|BARBIERI,Alan|XU,Hao|VAJAPEYAM,Madhavan Srinivasan|DAMNJANOVIC,Aleksandar</t>
  </si>
  <si>
    <t>高通|barbieri alan|xu hao|vajapeyam madhavan srinivasan|damnjanovic aleksandar</t>
  </si>
  <si>
    <t>BARBIERI,Alan|XU,Hao|VAJAPEYAM,Madhavan Srinivasan|DAMNJANOVIC,Aleksandar</t>
  </si>
  <si>
    <t>BARBIERI,Alan</t>
  </si>
  <si>
    <t>2011/04/20</t>
  </si>
  <si>
    <t>2011/10/27</t>
  </si>
  <si>
    <t>0.89</t>
  </si>
  <si>
    <t>CN201180019949.0</t>
  </si>
  <si>
    <t>异构网络中的半持久调度准予</t>
  </si>
  <si>
    <t>A·巴比里|H·徐|M·S·瓦贾佩亚姆|A·达蒙佳诺维克</t>
  </si>
  <si>
    <t>A·巴比里</t>
  </si>
  <si>
    <t>EP20110717879</t>
  </si>
  <si>
    <t>Alan Barbieri|Hao Xu|Madhavan Srinivasan Vajapeyam|Aleksandar Damnjanovic</t>
  </si>
  <si>
    <t>Alan Barbieri</t>
  </si>
  <si>
    <t>2014/04/09</t>
  </si>
  <si>
    <t>US2007/078961</t>
  </si>
  <si>
    <t>Frame structure for multi-hop relay in wireless communication systems</t>
  </si>
  <si>
    <t>中兴通讯|CAI,Sean</t>
  </si>
  <si>
    <t>中兴通讯|cai sean</t>
  </si>
  <si>
    <t>2006/09/19</t>
  </si>
  <si>
    <t>2007/09/19</t>
  </si>
  <si>
    <t>2008/03/27</t>
  </si>
  <si>
    <t>H04B  7/15</t>
  </si>
  <si>
    <t>12/483,125</t>
  </si>
  <si>
    <t>Opportunistic relay scheduling in wireless communications</t>
  </si>
  <si>
    <t>Ji; Tingfang|Yazdi; Kambiz Azarian|Lin; Dexu|Stamoulis; Anastasios|Chakrabarti; Arnab</t>
  </si>
  <si>
    <t>2008/07/03</t>
  </si>
  <si>
    <t>2009/06/11</t>
  </si>
  <si>
    <t>H04M 11/00</t>
  </si>
  <si>
    <t>12/580,872</t>
  </si>
  <si>
    <t>Data transmission via a relay station in a wireless communication system</t>
  </si>
  <si>
    <t>Palanki; Ravi|Bhattad; Kapil|Bhushan; Naga|Khandekar; Aamod D.|Ji; Tingfang|Montojo; Juan</t>
  </si>
  <si>
    <t>2008/10/20</t>
  </si>
  <si>
    <t>2009/10/16</t>
  </si>
  <si>
    <t>H04L1/1867</t>
  </si>
  <si>
    <t>12/568,255</t>
  </si>
  <si>
    <t>Techniques for supporting relay operation in wireless communication systems</t>
  </si>
  <si>
    <t>2008/09/30</t>
  </si>
  <si>
    <t>2009/09/28</t>
  </si>
  <si>
    <t>H04L1/0023</t>
  </si>
  <si>
    <t>US2009/049588</t>
  </si>
  <si>
    <t>高通|JI,Tingfang|AZARIAN YAZDI,Kambiz|LIN,Dexu|STAMOULIS,Anastasios|CHAKRABARTI,Arnab</t>
  </si>
  <si>
    <t>高通|ji tingfang|azarian yazdi kambiz|lin dexu|stamoulis anastasios|chakrabarti arnab</t>
  </si>
  <si>
    <t>JI,Tingfang|AZARIAN YAZDI,Kambiz|LIN,Dexu|STAMOULIS,Anastasios|CHAKRABARTI,Arnab</t>
  </si>
  <si>
    <t>JI,Tingfang</t>
  </si>
  <si>
    <t>2009/07/02</t>
  </si>
  <si>
    <t>2010/01/07</t>
  </si>
  <si>
    <t>H04W 72/02</t>
  </si>
  <si>
    <t>2.12</t>
  </si>
  <si>
    <t>WO2009US49588</t>
  </si>
  <si>
    <t>OPPORTUNISTIC RELAY SCHEDULING IN WIRELESS COMMUNICATIONS</t>
  </si>
  <si>
    <t>高通|JI TINGFANG|AZARIAN YAZDI KAMBIZ|LIN DEXU|STAMOULIS ANASTASIOS|CHAKRABARTI ARNAB</t>
  </si>
  <si>
    <t>JI TINGFANG|AZARIAN YAZDI KAMBIZ|LIN DEXU|STAMOULIS ANASTASIOS|CHAKRABARTI ARNAB</t>
  </si>
  <si>
    <t>JI TINGFANG</t>
  </si>
  <si>
    <t>EP20100854630</t>
  </si>
  <si>
    <t>Method and apparatus for switching between different network standards</t>
  </si>
  <si>
    <t>WEN YONGMING</t>
  </si>
  <si>
    <t>2010/11/15</t>
  </si>
  <si>
    <t>2012/11/21</t>
  </si>
  <si>
    <t>0.59</t>
  </si>
  <si>
    <t>US2014/047451</t>
  </si>
  <si>
    <t>HANDOVER AND RESELECTION SEARCHING USING PREDICTIVE MOBILITY</t>
  </si>
  <si>
    <t>KILPATRICK,II,Thomas|QUICK,JR.,Roy,Franklin|AWONIYI-OTERI,Olufunmilola</t>
  </si>
  <si>
    <t>H04W 36/24</t>
  </si>
  <si>
    <t>EP20100824407</t>
  </si>
  <si>
    <t>SHEN RONGRONG|LIU DAN</t>
  </si>
  <si>
    <t>SHEN RONGRONG</t>
  </si>
  <si>
    <t>2012/08/29</t>
  </si>
  <si>
    <t>0.90</t>
  </si>
  <si>
    <t>US2015/013509</t>
  </si>
  <si>
    <t>IMPROVED SUBSCRIPTION ACQUISITION TIME</t>
  </si>
  <si>
    <t>AKKAPALLY,Mahender Reddy|KANDLAKUNTA,Rammohan</t>
  </si>
  <si>
    <t>AKKAPALLY,Mahender Reddy</t>
  </si>
  <si>
    <t>2015/01/29</t>
  </si>
  <si>
    <t>2015/08/06</t>
  </si>
  <si>
    <t>EP20050822770</t>
  </si>
  <si>
    <t>A method for improving call speed of the called user in cdma cluster system</t>
  </si>
  <si>
    <t>HUANG CHI|DING MENGJIAO|LIU JINLONG</t>
  </si>
  <si>
    <t>HUANG CHI</t>
  </si>
  <si>
    <t>2005/12/26</t>
  </si>
  <si>
    <t>0.52</t>
  </si>
  <si>
    <t>13/691,331</t>
  </si>
  <si>
    <t>Systems and methods for low overhead paging</t>
  </si>
  <si>
    <t>Merlin; Simone|Wentink; Maarten Menzo|Quan; Zhi|Asterjadhi; Alfred</t>
  </si>
  <si>
    <t>Merlin; Simone</t>
  </si>
  <si>
    <t>2011/12/05</t>
  </si>
  <si>
    <t>2012/11/30</t>
  </si>
  <si>
    <t>13/572,427</t>
  </si>
  <si>
    <t>Devices for reduced overhead paging</t>
  </si>
  <si>
    <t>Merlin; Simone|Sampath; Hemanth|Abraham; Santosh Paul|Wentink; Maarten Menzo|Quan; Zhi|Asterjadhi; Alfred</t>
  </si>
  <si>
    <t>2011/08/12</t>
  </si>
  <si>
    <t>2017/01/31</t>
  </si>
  <si>
    <t>14/169,715</t>
  </si>
  <si>
    <t>Devices for title of invention reduced overhead paging</t>
  </si>
  <si>
    <t>2014/01/31</t>
  </si>
  <si>
    <t>H04L 12/801</t>
  </si>
  <si>
    <t>13/691,341</t>
  </si>
  <si>
    <t>Systems and methods for low overhead  paging</t>
  </si>
  <si>
    <t>2017/03/07</t>
  </si>
  <si>
    <t>H03M  7/30</t>
  </si>
  <si>
    <t>US2012/068004</t>
  </si>
  <si>
    <t>MERLIN SIMONE [US]|WENTINK MAARTEN MENZO [US]|QUAN ZHI [US]|ASTERJADHI ALFRED [US]</t>
  </si>
  <si>
    <t>MERLIN SIMONE [US]</t>
  </si>
  <si>
    <t>2012/12/05</t>
  </si>
  <si>
    <t>CN201010282470.3</t>
  </si>
  <si>
    <t>一种实现安全密钥同步绑定的方法及系统</t>
  </si>
  <si>
    <t>和峰|冯成燕</t>
  </si>
  <si>
    <t>和峰</t>
  </si>
  <si>
    <t>2011/01/12</t>
  </si>
  <si>
    <t>H04W 12/04</t>
  </si>
  <si>
    <t>1.54</t>
  </si>
  <si>
    <t>13/162,332</t>
  </si>
  <si>
    <t>Method and apparatus for relay node management and authorization</t>
  </si>
  <si>
    <t>Palanigounder; Anand|Escott; Adrian Edward</t>
  </si>
  <si>
    <t>Palanigounder; Anand</t>
  </si>
  <si>
    <t>2010/06/18</t>
  </si>
  <si>
    <t>2011/06/16</t>
  </si>
  <si>
    <t>H04W 12/08</t>
  </si>
  <si>
    <t>H04L41/28</t>
  </si>
  <si>
    <t>13/487,740</t>
  </si>
  <si>
    <t>Apparatus and method of binding a removable module to an access terminal</t>
  </si>
  <si>
    <t>Berionne; Michele|Rosenberg; Brian M.</t>
  </si>
  <si>
    <t>Berionne; Michele</t>
  </si>
  <si>
    <t>2011/08/09</t>
  </si>
  <si>
    <t>2012/06/04</t>
  </si>
  <si>
    <t>G06F  7/06</t>
  </si>
  <si>
    <t>H04L63/0853</t>
  </si>
  <si>
    <t>13/243,185</t>
  </si>
  <si>
    <t>Authentication of access terminal identities in roaming networks</t>
  </si>
  <si>
    <t>Mao; Yinian|Li; Qing|Palanigounder; Anand</t>
  </si>
  <si>
    <t>Mao; Yinian</t>
  </si>
  <si>
    <t>2011/09/23</t>
  </si>
  <si>
    <t>2015/08/18</t>
  </si>
  <si>
    <t>13/161,336</t>
  </si>
  <si>
    <t>Method and apparatus for binding subscriber authentication and device authentication in communication systems</t>
  </si>
  <si>
    <t>Escott; Adrian Edward|Palanigounder; Anand</t>
  </si>
  <si>
    <t>Escott; Adrian Edward</t>
  </si>
  <si>
    <t>2011/06/15</t>
  </si>
  <si>
    <t>H04L  9/08</t>
  </si>
  <si>
    <t>H04L9/0816</t>
  </si>
  <si>
    <t>13/577,888</t>
  </si>
  <si>
    <t>Facilitating authentication of access terminal identity</t>
  </si>
  <si>
    <t>Du; Zhimin|Li; Yan</t>
  </si>
  <si>
    <t>Du; Zhimin</t>
  </si>
  <si>
    <t>2011/03/16</t>
  </si>
  <si>
    <t>CN200910001943.5</t>
  </si>
  <si>
    <t>一种下行控制信息的发送及检测方法</t>
  </si>
  <si>
    <t>2009/01/21</t>
  </si>
  <si>
    <t>2009/07/08</t>
  </si>
  <si>
    <t>H04W 48/12</t>
  </si>
  <si>
    <t>63.40</t>
  </si>
  <si>
    <t>13/343,433</t>
  </si>
  <si>
    <t>Method and apparatus for improving throughput of 5 MHZ WLAN transmissions</t>
  </si>
  <si>
    <t>Abraham; Santosh Paul|Vermani; Sameer</t>
  </si>
  <si>
    <t>Abraham; Santosh Paul</t>
  </si>
  <si>
    <t>2011/01/05</t>
  </si>
  <si>
    <t>2012/01/04</t>
  </si>
  <si>
    <t>2016/03/29</t>
  </si>
  <si>
    <t>H04L27/2607</t>
  </si>
  <si>
    <t>12/848,058</t>
  </si>
  <si>
    <t>Enhancements to the MU-MIMO VHT preamble to enable mode detection</t>
  </si>
  <si>
    <t>Vermani; Sameer|Yang; Lin|Sampath; Hemanth|Jones; Vincent Knowles|Van Nee; Didier Johannes Richard</t>
  </si>
  <si>
    <t>Vermani; Sameer</t>
  </si>
  <si>
    <t>2010/07/30</t>
  </si>
  <si>
    <t>2016/11/22</t>
  </si>
  <si>
    <t>H04W28/065</t>
  </si>
  <si>
    <t>14/559,531</t>
  </si>
  <si>
    <t>Vermani; Sameer|Yang; Lin|Sampath; Hemanth|Jones, IV; Vincent Knowles|Van Nee; Didier Johannes Richard</t>
  </si>
  <si>
    <t>2014/12/03</t>
  </si>
  <si>
    <t>CN201080044499.6</t>
  </si>
  <si>
    <t>用于具有发射分集的物理上行链路控制信道(PUCCH)资源映射的方法及装置</t>
  </si>
  <si>
    <t>张晓霞|罗涛</t>
  </si>
  <si>
    <t>张晓霞</t>
  </si>
  <si>
    <t>2009/07/31</t>
  </si>
  <si>
    <t>2015/01/28</t>
  </si>
  <si>
    <t>CN201080035521.0</t>
  </si>
  <si>
    <t>增强MU-MIMOVHT前导码以实现传输模式检测</t>
  </si>
  <si>
    <t>S·韦尔玛尼|L·杨|H·桑帕斯|V·K·琼斯四世|D·J·R·范尼</t>
  </si>
  <si>
    <t>S·韦尔玛尼</t>
  </si>
  <si>
    <t>2016/03/02</t>
  </si>
  <si>
    <t>CN200810146053.9</t>
  </si>
  <si>
    <t>一种参考信号的传输方法</t>
  </si>
  <si>
    <t>戴  博|夏树强|梁春丽|郝  鹏</t>
  </si>
  <si>
    <t>戴  博</t>
  </si>
  <si>
    <t>2009/01/07</t>
  </si>
  <si>
    <t>23.60</t>
  </si>
  <si>
    <t>12/893,949</t>
  </si>
  <si>
    <t>Scrambling sequence initialization for coordinated multi-point transmissions</t>
  </si>
  <si>
    <t>Montojo; Juan|Luo; Tao|Chen; Wanshi</t>
  </si>
  <si>
    <t>2009/09/30</t>
  </si>
  <si>
    <t>H04B7/024</t>
  </si>
  <si>
    <t>1.61</t>
  </si>
  <si>
    <t>12/890,182</t>
  </si>
  <si>
    <t>UE-RS sequence initialization for wireless communication systems</t>
  </si>
  <si>
    <t>Chen; Wanshi|Montojo; Juan|Luo; Tao|Gorokhov; Alexei Yurievitch|Khandekar; Aamod Dinkar|Bhushan; Naga|Farajidana; Amir</t>
  </si>
  <si>
    <t>2010/09/24</t>
  </si>
  <si>
    <t>2015/02/03</t>
  </si>
  <si>
    <t>H04J11/003</t>
  </si>
  <si>
    <t>12/903,659</t>
  </si>
  <si>
    <t>Method and apparatus for reference signal sequence mapping in wireless communication</t>
  </si>
  <si>
    <t>Chen; Wanshi|Gaal; Peter|Montojo; Juan|Luo; Tao</t>
  </si>
  <si>
    <t>H04L5/0051</t>
  </si>
  <si>
    <t>14/549,898</t>
  </si>
  <si>
    <t>2014/11/21</t>
  </si>
  <si>
    <t>H04J13/10</t>
  </si>
  <si>
    <t>CN201080045846.7</t>
  </si>
  <si>
    <t>用于无线通信中参考信号序列映射的方法和装置</t>
  </si>
  <si>
    <t>W·陈|P·加尔|J·蒙托霍|罗涛</t>
  </si>
  <si>
    <t>2015/11/25</t>
  </si>
  <si>
    <t>CN200610150353.5</t>
  </si>
  <si>
    <t>无线链路控制层服务数据单元的串接装置</t>
  </si>
  <si>
    <t>张  健</t>
  </si>
  <si>
    <t>2006/10/30</t>
  </si>
  <si>
    <t>2008/05/07</t>
  </si>
  <si>
    <t>0.48</t>
  </si>
  <si>
    <t>撤回</t>
  </si>
  <si>
    <t>12/615,143</t>
  </si>
  <si>
    <t>Method and apparatus for supporting the large service data unit (SDU)</t>
  </si>
  <si>
    <t>Ho; Sai Yiu Duncan|Meylan; Arnaud</t>
  </si>
  <si>
    <t>Ho; Sai Yiu Duncan</t>
  </si>
  <si>
    <t>2008/11/10</t>
  </si>
  <si>
    <t>2009/11/09</t>
  </si>
  <si>
    <t>12/652,665</t>
  </si>
  <si>
    <t>Unbundling packets received in wireless communications</t>
  </si>
  <si>
    <t>Sampath; Ashwin|Ray; Siddharth</t>
  </si>
  <si>
    <t>Sampath; Ashwin</t>
  </si>
  <si>
    <t>2010/01/05</t>
  </si>
  <si>
    <t>H04J  3/16</t>
  </si>
  <si>
    <t>12/652,636</t>
  </si>
  <si>
    <t>Packet bundling at the PDCP layer</t>
  </si>
  <si>
    <t>Ray; Siddharth|Sampath; Ashwin</t>
  </si>
  <si>
    <t>Ray; Siddharth</t>
  </si>
  <si>
    <t>H04J  3/22</t>
  </si>
  <si>
    <t>14/075,343</t>
  </si>
  <si>
    <t>2013/11/08</t>
  </si>
  <si>
    <t>2016/04/26</t>
  </si>
  <si>
    <t>H04W 40/00</t>
  </si>
  <si>
    <t>CN200980154021.6</t>
  </si>
  <si>
    <t>用于支持大的服务数据单元（SDU）的方法和装置</t>
  </si>
  <si>
    <t>S·Y·D·何|A·梅朗</t>
  </si>
  <si>
    <t>S·Y·D·何</t>
  </si>
  <si>
    <t>2009/11/10</t>
  </si>
  <si>
    <t>CN200610149846.7</t>
  </si>
  <si>
    <t>无线链路控制层服务数据单元的分段装置</t>
  </si>
  <si>
    <t>2.13</t>
  </si>
  <si>
    <t>CN200710000289.7</t>
  </si>
  <si>
    <t>一种智能天线技术应用于无线通信系统的方法</t>
  </si>
  <si>
    <t>李良斌</t>
  </si>
  <si>
    <t>2007/01/18</t>
  </si>
  <si>
    <t>2008/03/05</t>
  </si>
  <si>
    <t>2.76</t>
  </si>
  <si>
    <t>12/483,964</t>
  </si>
  <si>
    <t>Method and apparatus for channel access in a wireless communications system</t>
  </si>
  <si>
    <t>Lakkis; Ismail|Bracha; Vered Bar</t>
  </si>
  <si>
    <t>Lakkis; Ismail</t>
  </si>
  <si>
    <t>2008/11/12</t>
  </si>
  <si>
    <t>2009/06/12</t>
  </si>
  <si>
    <t>H04B7/0408</t>
  </si>
  <si>
    <t>12/484,014</t>
  </si>
  <si>
    <t>Method and apparatus for directional clear channel assessment in a wireless communications system</t>
  </si>
  <si>
    <t>2015/12/15</t>
  </si>
  <si>
    <t>H04W 16/28</t>
  </si>
  <si>
    <t>14/764,394</t>
  </si>
  <si>
    <t>3D MIMO CSI feedback based on virtual elevation ports</t>
  </si>
  <si>
    <t>Wei; Chao</t>
  </si>
  <si>
    <t>2014/02/07</t>
  </si>
  <si>
    <t>CN2013/071178</t>
  </si>
  <si>
    <t>3d mimo csi feedback based on virtual elevation ports</t>
  </si>
  <si>
    <t>高通|WEI,Chao|XU,Hao</t>
  </si>
  <si>
    <t>高通|wei chao|xu hao</t>
  </si>
  <si>
    <t>WEI,Chao|XU,Hao</t>
  </si>
  <si>
    <t>WEI,Chao</t>
  </si>
  <si>
    <t>2014/08/07</t>
  </si>
  <si>
    <t>CN200980151709.9</t>
  </si>
  <si>
    <t>用于无线通信系统中定向空闲信道评估的方法和装置</t>
  </si>
  <si>
    <t>I·拉基斯|V·B·布拉查</t>
  </si>
  <si>
    <t>I·拉基斯</t>
  </si>
  <si>
    <t>2009/11/12</t>
  </si>
  <si>
    <t>CN200610066328.9</t>
  </si>
  <si>
    <t>一种PHS网络中呼叫建立请求的方法</t>
  </si>
  <si>
    <t>李  平</t>
  </si>
  <si>
    <t>2006/03/28</t>
  </si>
  <si>
    <t>2007/10/03</t>
  </si>
  <si>
    <t>H04Q  7/38</t>
  </si>
  <si>
    <t>7.78</t>
  </si>
  <si>
    <t>CN2011/071183</t>
  </si>
  <si>
    <t>H04W 28/16</t>
  </si>
  <si>
    <t>1.22</t>
  </si>
  <si>
    <t>CN201180004282.7</t>
  </si>
  <si>
    <t>减少多模式移动设备的多个无线通信之间的设备内干扰</t>
  </si>
  <si>
    <t>2016/02/03</t>
  </si>
  <si>
    <t>CN200610078998.2</t>
  </si>
  <si>
    <t>基于单载波发射和接收系统的随机接入信号的发射方法</t>
  </si>
  <si>
    <t>张峻峰|郁光辉|胡留军</t>
  </si>
  <si>
    <t>2006/04/29</t>
  </si>
  <si>
    <t>H04L  5/12</t>
  </si>
  <si>
    <t>H04B1/707F3</t>
  </si>
  <si>
    <t>7.7</t>
  </si>
  <si>
    <t>12/243,151</t>
  </si>
  <si>
    <t>Method and apparatus for sending and receiving random access response in a wireless communication system</t>
  </si>
  <si>
    <t>2007/12/18</t>
  </si>
  <si>
    <t>2008/10/01</t>
  </si>
  <si>
    <t>2014/03/04</t>
  </si>
  <si>
    <t>H04W74/0833</t>
  </si>
  <si>
    <t>0.79</t>
  </si>
  <si>
    <t>12/501,235</t>
  </si>
  <si>
    <t>Handling uplink grant in random access response</t>
  </si>
  <si>
    <t>Montojo; Juan|Meylan; Arnaud</t>
  </si>
  <si>
    <t>2008/08/12</t>
  </si>
  <si>
    <t>2009/07/10</t>
  </si>
  <si>
    <t>2014/07/15</t>
  </si>
  <si>
    <t>H04W74/006</t>
  </si>
  <si>
    <t>12/501,219</t>
  </si>
  <si>
    <t>Utilizing HARQ for uplink grants received in wireless communications</t>
  </si>
  <si>
    <t>Maheshwari; Shailesh|Krishnamoorthy; Srividhya|Kumar; Vanitha A.|Meylan; Arnaud</t>
  </si>
  <si>
    <t>Maheshwari; Shailesh</t>
  </si>
  <si>
    <t>H04L 12/40</t>
  </si>
  <si>
    <t>13/774,151</t>
  </si>
  <si>
    <t>Method and apparatus for handling uplink grant in random access response</t>
  </si>
  <si>
    <t>2013/02/22</t>
  </si>
  <si>
    <t>CN200880121368.6</t>
  </si>
  <si>
    <t>无线通信系统中发送和接收随机接入响应的方法和装置</t>
  </si>
  <si>
    <t>A·梅朗</t>
  </si>
  <si>
    <t>2008/12/17</t>
  </si>
  <si>
    <t>2013/11/06</t>
  </si>
  <si>
    <t>CN00114286.0</t>
  </si>
  <si>
    <t>GSM网与CDMA网合用的短消息中心及其实现方法</t>
  </si>
  <si>
    <t>罗圣美|沈岷</t>
  </si>
  <si>
    <t>罗圣美</t>
  </si>
  <si>
    <t>2000/05/18</t>
  </si>
  <si>
    <t>2001/08/29</t>
  </si>
  <si>
    <t>H04Q7/38R6</t>
  </si>
  <si>
    <t>13.59</t>
  </si>
  <si>
    <t>10/421,439</t>
  </si>
  <si>
    <t>Method and apparatus for effecting SMS and SMSC messaging in different cellular communications systems</t>
  </si>
  <si>
    <t>Jain; Nikhil|Nagaraj; Thadi</t>
  </si>
  <si>
    <t>Jain; Nikhil</t>
  </si>
  <si>
    <t>2002/04/22</t>
  </si>
  <si>
    <t>2003/04/22</t>
  </si>
  <si>
    <t>H04W4/18</t>
  </si>
  <si>
    <t>CN200480010460.7</t>
  </si>
  <si>
    <t>通用全球网关及其关联的无线通信方法</t>
  </si>
  <si>
    <t>N·贾因|B·柯林斯</t>
  </si>
  <si>
    <t>N·贾因</t>
  </si>
  <si>
    <t>2003/03/18</t>
  </si>
  <si>
    <t>2004/03/18</t>
  </si>
  <si>
    <t>H04M  1/66</t>
  </si>
  <si>
    <t>CN200480010459.4</t>
  </si>
  <si>
    <t>第一网络和第二网络间的网际互连</t>
  </si>
  <si>
    <t>N·贾因|A·T·亨特</t>
  </si>
  <si>
    <t>2010/05/05</t>
  </si>
  <si>
    <t>CN200710089692.1</t>
  </si>
  <si>
    <t>无线通信系统的不同格式间的短消息转换</t>
  </si>
  <si>
    <t>N·尤齐达|H·瞿</t>
  </si>
  <si>
    <t>N·尤齐达</t>
  </si>
  <si>
    <t>2002/07/09</t>
  </si>
  <si>
    <t>2003/07/09</t>
  </si>
  <si>
    <t>2011/03/23</t>
  </si>
  <si>
    <t>CN03820148.8</t>
  </si>
  <si>
    <t>2012/04/04</t>
  </si>
  <si>
    <t>H04W  4/14</t>
  </si>
  <si>
    <t>13/552,573</t>
  </si>
  <si>
    <t>METHODS AND APPARATUS FOR GROUP PAGING IN WIRELESS NETWORKS</t>
  </si>
  <si>
    <t>Fang; Yonggang|Yu; YuanFang|Lu; Ting|Zhao; Xiaowu</t>
  </si>
  <si>
    <t>2011/07/18</t>
  </si>
  <si>
    <t>2012/07/18</t>
  </si>
  <si>
    <t>1.39</t>
  </si>
  <si>
    <t>13/772,695</t>
  </si>
  <si>
    <t>Methods and apparatus for using USSD over a common channel</t>
  </si>
  <si>
    <t>Atarius; Roozbeh</t>
  </si>
  <si>
    <t>2012/10/11</t>
  </si>
  <si>
    <t>2013/02/21</t>
  </si>
  <si>
    <t>12/246,383</t>
  </si>
  <si>
    <t>Access management for wireless communication</t>
  </si>
  <si>
    <t>Gupta; Rajarshi|Palanigounder; Anand|Ulupinar; Fatih|Horn; Gavin B.|Agashe; Parag A.|Chen; Jen Mei|Deshpande; Manoj M.|Balasubramanian; Srinivasan|Nanda; Sanjiv|Song; Osok</t>
  </si>
  <si>
    <t>2007/10/08</t>
  </si>
  <si>
    <t>2008/10/06</t>
  </si>
  <si>
    <t>G06F  7/00</t>
  </si>
  <si>
    <t>14/271,169</t>
  </si>
  <si>
    <t>Target wakeup time (TWT) grouping modification</t>
  </si>
  <si>
    <t>Jafarian; Amin|Tian; Bin</t>
  </si>
  <si>
    <t>Jafarian; Amin</t>
  </si>
  <si>
    <t>2013/05/09</t>
  </si>
  <si>
    <t>2014/05/06</t>
  </si>
  <si>
    <t>H04W52/0225</t>
  </si>
  <si>
    <t>US2014/037076</t>
  </si>
  <si>
    <t>Target wakeup time (twt) grouping modification</t>
  </si>
  <si>
    <t>JAFARIAN,Amin|TIAN,Bin</t>
  </si>
  <si>
    <t>JAFARIAN,Amin</t>
  </si>
  <si>
    <t>2014/05/07</t>
  </si>
  <si>
    <t>2014/11/13</t>
  </si>
  <si>
    <t>EP20140730313</t>
  </si>
  <si>
    <t>Amin Jafarian|Bin Tian</t>
  </si>
  <si>
    <t>Amin Jafarian</t>
  </si>
  <si>
    <t>2016/11/16</t>
  </si>
  <si>
    <t>H04W 76/04</t>
  </si>
  <si>
    <t>EP</t>
  </si>
  <si>
    <t>CN2011/076531</t>
  </si>
  <si>
    <t>Dynamic sub-frame configuration method and apparatus in time division duplex system</t>
  </si>
  <si>
    <t>中兴通讯|中兴通讯股份有限公司 HU,Liujun|胡留军</t>
  </si>
  <si>
    <t>HU,Liujun|胡留军|BI,Feng</t>
  </si>
  <si>
    <t>HU,Liujun</t>
  </si>
  <si>
    <t>2010/09/02</t>
  </si>
  <si>
    <t>2011/06/28</t>
  </si>
  <si>
    <t>H04W 16/10</t>
  </si>
  <si>
    <t>3.85</t>
  </si>
  <si>
    <t>13/891,143</t>
  </si>
  <si>
    <t>Interference management for adaptive TDD with frequency domain separations</t>
  </si>
  <si>
    <t>Xu; Hao|Chen; Wanshi|Gaal; Peter|Geirhofer; Stefan</t>
  </si>
  <si>
    <t>2012/05/11</t>
  </si>
  <si>
    <t>2017/02/28</t>
  </si>
  <si>
    <t>H04L  5/14</t>
  </si>
  <si>
    <t>H04L5/14</t>
  </si>
  <si>
    <t>US2013/040660</t>
  </si>
  <si>
    <t>Interference management for adaptive tdd with frequency domain separations</t>
  </si>
  <si>
    <t>XU,Hao|CHEN,Wanshi|GAAL,Peter|GEIRHOFER,Stefan</t>
  </si>
  <si>
    <t>XU,Hao</t>
  </si>
  <si>
    <t>2013/05/10</t>
  </si>
  <si>
    <t>2013/11/14</t>
  </si>
  <si>
    <t>CN2012/081410</t>
  </si>
  <si>
    <t>Uplink ack/nack bundling enhancement for lte tdd eimta</t>
  </si>
  <si>
    <t>高通|FENG,Minghai|GUO,Jiming|WANG,Neng|HOU,Jilei|XU,Hao|GAAL,Peter</t>
  </si>
  <si>
    <t>高通|feng minghai|guo jiming|wang neng|hou jilei|xu hao|gaal peter</t>
  </si>
  <si>
    <t>FENG,Minghai|GUO,Jiming|WANG,Neng|HOU,Jilei|XU,Hao|GAAL,Peter</t>
  </si>
  <si>
    <t>FENG,Minghai</t>
  </si>
  <si>
    <t>2014/03/20</t>
  </si>
  <si>
    <t>H04L  1/16</t>
  </si>
  <si>
    <t>CN2013/083390</t>
  </si>
  <si>
    <t>Uplink ack/nack bundling enhancement for lte tdd enhanced interference management and traffic adaptation</t>
  </si>
  <si>
    <t>高通|FENG,Minghai|GUO,Jiming|WANG,Neng|HUO,Jilei|XU,Hao|GAAL,Peter</t>
  </si>
  <si>
    <t>高通|feng minghai|guo jiming|wang neng|huo jilei|xu hao|gaal peter</t>
  </si>
  <si>
    <t>FENG,Minghai|GUO,Jiming|WANG,Neng|HUO,Jilei|XU,Hao|GAAL,Peter</t>
  </si>
  <si>
    <t>2013/09/12</t>
  </si>
  <si>
    <t>CN2009/072324</t>
  </si>
  <si>
    <t>A method for acquiring/configuring the multicast/broadcast over single frequency network sub-frame and an acquiring apparatus thereof</t>
  </si>
  <si>
    <t>中兴通讯|中兴通讯股份有限公司 MA,Zijiang|马子江</t>
  </si>
  <si>
    <t>MA,Zijiang|马子江|SHEN,Wu</t>
  </si>
  <si>
    <t>MA,Zijiang</t>
  </si>
  <si>
    <t>2008/08/21</t>
  </si>
  <si>
    <t>2010/02/25</t>
  </si>
  <si>
    <t>1.48</t>
  </si>
  <si>
    <t>13/402,845</t>
  </si>
  <si>
    <t>Carrier aggregation for evolved multimedia broadcast multicast service enhancement</t>
  </si>
  <si>
    <t>Zhang; Xiaoxia|Wei; Yongbin|Malladi; Durga Prasad|Wang; Jun|Liu; Zhengwei|Bao; Gang</t>
  </si>
  <si>
    <t>Zhang; Xiaoxia</t>
  </si>
  <si>
    <t>2012/02/22</t>
  </si>
  <si>
    <t>13/401,540</t>
  </si>
  <si>
    <t>System and method for single carrier optimization for evolved multimedia broadcast multicast service</t>
  </si>
  <si>
    <t>Zhang; Xiaoxia|Wei; Yongbin|Malladi; Durga Prasad</t>
  </si>
  <si>
    <t>US2012/026184</t>
  </si>
  <si>
    <t>高通|ZHANG,Xiaoxia|WEI,Yongbin|MALLADI,Durga,Prasad</t>
  </si>
  <si>
    <t>高通|zhang xiaoxia|wei yongbin|malladi durga prasad</t>
  </si>
  <si>
    <t>ZHANG,Xiaoxia|WEI,Yongbin|MALLADI,Durga,Prasad</t>
  </si>
  <si>
    <t>ZHANG,Xiaoxia</t>
  </si>
  <si>
    <t>2012/08/30</t>
  </si>
  <si>
    <t>WO2012US26184</t>
  </si>
  <si>
    <t>SYSTEM AND METHOD FOR SINGLE CARRIER OPTIMIZATION FOR EVOLVED MULTIMEDIA BROADCAST MULTICAST SERVICE</t>
  </si>
  <si>
    <t>高通|ZHANG XIAOXIA|WEI YONGBIN|MALLADI DURGA PRASAD</t>
  </si>
  <si>
    <t>ZHANG XIAOXIA|WEI YONGBIN|MALLADI DURGA PRASAD</t>
  </si>
  <si>
    <t>ZHANG XIAOXIA</t>
  </si>
  <si>
    <t>PCT/US2005/02922.2</t>
  </si>
  <si>
    <t>Fast cell search and accurate sznchronization in wireless communications</t>
  </si>
  <si>
    <t>中兴通讯|Cai,Sean|Zhang,Wenzhong|Wang,Jing|Hou,Jason|Fang,Yonggang|Yang,Yunsong</t>
  </si>
  <si>
    <t>中兴通讯|cai sean|zhang wenzhong|wang jing|hou jason|fang yonggang|yang yunsong</t>
  </si>
  <si>
    <t>Cai,Sean|Zhang,Wenzhong|Wang,Jing|Hou,Jason|Fang,Yonggang|Yang,Yunsong</t>
  </si>
  <si>
    <t>Cai,Sean</t>
  </si>
  <si>
    <t>2006/03/02</t>
  </si>
  <si>
    <t>28.98</t>
  </si>
  <si>
    <t>12/260,834</t>
  </si>
  <si>
    <t>Sector interference management based on inter-sector performance</t>
  </si>
  <si>
    <t>Khandekar; Aamod|Abraham; Santosh|Gorokhov; Alexei|Bhushan; Naga</t>
  </si>
  <si>
    <t>2008/02/13</t>
  </si>
  <si>
    <t>2008/10/29</t>
  </si>
  <si>
    <t>12/260,861</t>
  </si>
  <si>
    <t>Preamble design for a wireless signal</t>
  </si>
  <si>
    <t>Khandekar; Aamod|Gorokhov; Alexei|Bhushan; Naga|Palanki; Ravi|Sampath; Ashwin|Agrawal; Avneesh</t>
  </si>
  <si>
    <t>2007/11/16</t>
  </si>
  <si>
    <t>12/260,826</t>
  </si>
  <si>
    <t>Khandekar; Aamod|Gorokhov; Alexei|Bhushan; Naga|Palanki; Ravi</t>
  </si>
  <si>
    <t>H04W52/244</t>
  </si>
  <si>
    <t>12/260,856</t>
  </si>
  <si>
    <t>H04W 48/08</t>
  </si>
  <si>
    <t>EP20120827746</t>
  </si>
  <si>
    <t>CHE ZHONGHUI [CN]|SONG XIN [CN]|LI HONGJUAN [CN]|HU LESHEN [CN]</t>
  </si>
  <si>
    <t>CHE ZHONGHUI [CN]</t>
  </si>
  <si>
    <t>2014/07/02</t>
  </si>
  <si>
    <t>EP20060705496</t>
  </si>
  <si>
    <t>A random access method for user equipment in time division synchronization code division multiple access communication system</t>
  </si>
  <si>
    <t>ZHANG YINCHENG|YANG XUEJUN|MA ZIJIANG|MA ZHIFENG</t>
  </si>
  <si>
    <t>ZHANG YINCHENG</t>
  </si>
  <si>
    <t>2006/01/18</t>
  </si>
  <si>
    <t>H04W56/0005</t>
  </si>
  <si>
    <t>1.8</t>
  </si>
  <si>
    <t>13/384,186</t>
  </si>
  <si>
    <t>Method and apparatus for facilitating user equipment backoff during random access procedures</t>
  </si>
  <si>
    <t>12/855,511</t>
  </si>
  <si>
    <t>Uplink synchronization of TD-SCDMA multiple USIM mobile terminal during handover</t>
  </si>
  <si>
    <t>H04W 88/02</t>
  </si>
  <si>
    <t>US2010/034139</t>
  </si>
  <si>
    <t>US2011/047480</t>
  </si>
  <si>
    <t>Uplink synchronization of td-scdma multiple usim mobile terminal during handover</t>
  </si>
  <si>
    <t>2011/08/11</t>
  </si>
  <si>
    <t>2012/02/16</t>
  </si>
  <si>
    <t>CN201010257093.8</t>
  </si>
  <si>
    <t>一种时域干扰指示方法、时域资源干扰确定方法及其基站</t>
  </si>
  <si>
    <t>戴博|薛妍|李儒岳|毕峰|朱常青|张峻峰|邬华明</t>
  </si>
  <si>
    <t>戴博</t>
  </si>
  <si>
    <t>2010/08/13</t>
  </si>
  <si>
    <t>2010/12/15</t>
  </si>
  <si>
    <t>H04W 16/14</t>
  </si>
  <si>
    <t>4.12</t>
  </si>
  <si>
    <t>14/612,264</t>
  </si>
  <si>
    <t>Method and apparatus for enabling channel and interference estimations in macro/RRH system</t>
  </si>
  <si>
    <t>Geirhofer; Stefan|Chen; Wanshi|Luo; Tao|Gaal; Peter|Xu; Hao</t>
  </si>
  <si>
    <t>Geirhofer; Stefan</t>
  </si>
  <si>
    <t>2015/02/02</t>
  </si>
  <si>
    <t>H04W72/085</t>
  </si>
  <si>
    <t>13/895,292</t>
  </si>
  <si>
    <t>Cooperation and operation of macro node and remote radio head deployments in heterogeneous networks</t>
  </si>
  <si>
    <t>Geirhofer; Stefan|Ji; Tingfang|Gaal; Peter|Damnjanovic; Aleksandar|Montojo; Juan|Luo; Tao|Chen; Wanshi|Bhattad; Kapil</t>
  </si>
  <si>
    <t>2013/05/15</t>
  </si>
  <si>
    <t>2016/06/14</t>
  </si>
  <si>
    <t>H04W36/0077</t>
  </si>
  <si>
    <t>13/349,073</t>
  </si>
  <si>
    <t>2012/01/12</t>
  </si>
  <si>
    <t>13/336,599</t>
  </si>
  <si>
    <t>Geirhofer; Stefan|Ji; Tingfang|Gaal; Peter|Luo; Tao|Chen; Wanshi|Montojo; Juan</t>
  </si>
  <si>
    <t>2011/12/23</t>
  </si>
  <si>
    <t>CN200910084451.7</t>
  </si>
  <si>
    <t>LTE系统中实现定位的方法及系统</t>
  </si>
  <si>
    <t>黄波|吴昊</t>
  </si>
  <si>
    <t>黄波</t>
  </si>
  <si>
    <t>2010/11/17</t>
  </si>
  <si>
    <t>H04W  4/02</t>
  </si>
  <si>
    <t>0.61</t>
  </si>
  <si>
    <t>13/598,551</t>
  </si>
  <si>
    <t>Scheduling generic broadcast of location assistance data</t>
  </si>
  <si>
    <t>Edge; Stephen William|Fischer; Sven</t>
  </si>
  <si>
    <t>Edge; Stephen William</t>
  </si>
  <si>
    <t>2011/08/30</t>
  </si>
  <si>
    <t>2014/12/09</t>
  </si>
  <si>
    <t>H04W 64/00</t>
  </si>
  <si>
    <t>G01S19/05</t>
  </si>
  <si>
    <t>13/598,549</t>
  </si>
  <si>
    <t>Generic broadcast of location assistance data</t>
  </si>
  <si>
    <t>13/598,553</t>
  </si>
  <si>
    <t>Verifying generic broadcast of location assistance data</t>
  </si>
  <si>
    <t>Edge; Stephen William|Fischer; Sven|Hawkes; Philip Michael</t>
  </si>
  <si>
    <t>H04K  1/00</t>
  </si>
  <si>
    <t>US2012/053238</t>
  </si>
  <si>
    <t>高通|EDGE,Stephen William|FISCHER,Sven|HAWKES,Philip Michael</t>
  </si>
  <si>
    <t>高通|edge stephen william|fischer sven|hawkes philip michael</t>
  </si>
  <si>
    <t>EDGE,Stephen William|FISCHER,Sven|HAWKES,Philip Michael</t>
  </si>
  <si>
    <t>EDGE,Stephen William</t>
  </si>
  <si>
    <t>CN200910083054.8</t>
  </si>
  <si>
    <t>一种下行控制信令的传输方法和装置</t>
  </si>
  <si>
    <t>戴  博|李卫军|于  辉|郭  阳</t>
  </si>
  <si>
    <t>2009/04/27</t>
  </si>
  <si>
    <t>2009/09/23</t>
  </si>
  <si>
    <t>43.68</t>
  </si>
  <si>
    <t>13/100,801</t>
  </si>
  <si>
    <t>Expanded search space for R-PDCCH in LTE-A</t>
  </si>
  <si>
    <t>Gaal; Peter|Chen; Wanshi|Montojo; Juan</t>
  </si>
  <si>
    <t>Gaal; Peter</t>
  </si>
  <si>
    <t>2011/05/04</t>
  </si>
  <si>
    <t>CN201080045113.3</t>
  </si>
  <si>
    <t>用于高级LTE的上行链路资源分配</t>
  </si>
  <si>
    <t>W·陈|P·加尔|A·D·汉德卡尔|J·蒙托霍|N·布尚</t>
  </si>
  <si>
    <t>2015/08/19</t>
  </si>
  <si>
    <t>CN201180022544.2</t>
  </si>
  <si>
    <t>LTE-A中用于R-PDCCH的扩展搜索空间</t>
  </si>
  <si>
    <t>P·加尔|W·陈|J·蒙托霍</t>
  </si>
  <si>
    <t>P·加尔</t>
  </si>
  <si>
    <t>2011/05/05</t>
  </si>
  <si>
    <t>2016/06/22</t>
  </si>
  <si>
    <t>CN200810084749.3</t>
  </si>
  <si>
    <t>一种长期演进网络的时分复用系统中指示子帧属性的方法</t>
  </si>
  <si>
    <t>马子江|喻  斌|汪孙节</t>
  </si>
  <si>
    <t>马子江</t>
  </si>
  <si>
    <t>2008/03/14</t>
  </si>
  <si>
    <t>8.5</t>
  </si>
  <si>
    <t>CN200710126073.5</t>
  </si>
  <si>
    <t>多载波增强上行链路功率资源的分配方法</t>
  </si>
  <si>
    <t>陈  慧|张银成|马志锋</t>
  </si>
  <si>
    <t>陈  慧</t>
  </si>
  <si>
    <t>39.58</t>
  </si>
  <si>
    <t>13/641,045</t>
  </si>
  <si>
    <t>Method and apparatus for facilitating effective scheduling grants</t>
  </si>
  <si>
    <t>Zhang; Jianqiang|Fan; Mingxi|Guo; Jiming|Chen; Bo</t>
  </si>
  <si>
    <t>Zhang; Jianqiang</t>
  </si>
  <si>
    <t>2010/05/21</t>
  </si>
  <si>
    <t>H04W52/365</t>
  </si>
  <si>
    <t>CN2010/073047</t>
  </si>
  <si>
    <t>高通|ZHANG,Jianqiang|FAN,Mingxi|GUO,Jiming|CHEN,Bo</t>
  </si>
  <si>
    <t>高通|zhang jianqiang|fan mingxi|guo jiming|chen bo</t>
  </si>
  <si>
    <t>ZHANG,Jianqiang|FAN,Mingxi|GUO,Jiming|CHEN,Bo</t>
  </si>
  <si>
    <t>ZHANG,Jianqiang</t>
  </si>
  <si>
    <t>2011/11/24</t>
  </si>
  <si>
    <t>1.60</t>
  </si>
  <si>
    <t>CN2010/077661</t>
  </si>
  <si>
    <t>H04W 72/14</t>
  </si>
  <si>
    <t>CN2010/079348</t>
  </si>
  <si>
    <t>Methods and apparatus for power control for high-efficiency scheduling in td-scdma hsupa</t>
  </si>
  <si>
    <t>高通|ZHANG,Jianqiang|GUO,Jiming|FAN,Mingxi|CHEN,Bo</t>
  </si>
  <si>
    <t>高通|zhang jianqiang|guo jiming|fan mingxi|chen bo</t>
  </si>
  <si>
    <t>ZHANG,Jianqiang|GUO,Jiming|FAN,Mingxi|CHEN,Bo</t>
  </si>
  <si>
    <t>2010/12/01</t>
  </si>
  <si>
    <t>2012/06/07</t>
  </si>
  <si>
    <t>CN200810081929.6</t>
  </si>
  <si>
    <t>用于不同接入系统之间密钥生存计数器的初始化设置方法</t>
  </si>
  <si>
    <t>张旭武|甘  露</t>
  </si>
  <si>
    <t>张旭武</t>
  </si>
  <si>
    <t>2008/02/22</t>
  </si>
  <si>
    <t>7.23</t>
  </si>
  <si>
    <t>13/159,212</t>
  </si>
  <si>
    <t>Apparatus and method for transitioning enhanced security context from a UTRAN/GERAN-based serving network to an E-UTRAN-based serving network</t>
  </si>
  <si>
    <t>2010/06/17</t>
  </si>
  <si>
    <t>2011/06/13</t>
  </si>
  <si>
    <t>2015/07/14</t>
  </si>
  <si>
    <t>14/489,833</t>
  </si>
  <si>
    <t>Apparatus and method for transitioning from a serving network node that supports an enhanced security context to a legacy serving network node</t>
  </si>
  <si>
    <t>Escott; Adrian|Palanigounder; Anand</t>
  </si>
  <si>
    <t>Escott; Adrian</t>
  </si>
  <si>
    <t>2010/04/16</t>
  </si>
  <si>
    <t>13/084,378</t>
  </si>
  <si>
    <t>Apparatus and method for signaling enhanced security context for session encryption and integrity keys</t>
  </si>
  <si>
    <t>2010/04/15</t>
  </si>
  <si>
    <t>H04L63/20</t>
  </si>
  <si>
    <t>CN201180018855.1</t>
  </si>
  <si>
    <t>用于为会话加密和完整性密钥信令通知增强型安全性上下文的装置和方法</t>
  </si>
  <si>
    <t>A·E·艾斯科特|A·帕拉尼格朗德</t>
  </si>
  <si>
    <t>A·E·艾斯科特</t>
  </si>
  <si>
    <t>2016/04/06</t>
  </si>
  <si>
    <t>CN200710002501.3</t>
  </si>
  <si>
    <t>帧信号生成方法、信道估计方法及相应的发送、接收装置</t>
  </si>
  <si>
    <t>张峻峰|章  贵|郑骜扬|王亚峰</t>
  </si>
  <si>
    <t>2007/01/24</t>
  </si>
  <si>
    <t>0.84</t>
  </si>
  <si>
    <t>12/609,698</t>
  </si>
  <si>
    <t>Dual-stage echo cancellation in a wireless repeater using an inserted pilot</t>
  </si>
  <si>
    <t>Black; Peter John|Gore; Dhananjay Ashok|Barriac; Gwendolyn Denise</t>
  </si>
  <si>
    <t>Black; Peter John</t>
  </si>
  <si>
    <t>2009/05/11</t>
  </si>
  <si>
    <t>2009/10/30</t>
  </si>
  <si>
    <t>H04B  3/36</t>
  </si>
  <si>
    <t>H04B7/15535</t>
  </si>
  <si>
    <t>12/609,579</t>
  </si>
  <si>
    <t>Inserted pilot construction for an echo cancellation repeater</t>
  </si>
  <si>
    <t>Barriac; Gwendolyn Denise|Gore; Dhananjay Ashok|Proctor, Jr.; James Arthur|Wang; Michael Mao|Tian; Tao</t>
  </si>
  <si>
    <t>Barriac; Gwendolyn Denise</t>
  </si>
  <si>
    <t>2015/04/28</t>
  </si>
  <si>
    <t>CN2011/077553</t>
  </si>
  <si>
    <t>Performing frequency domain processing in td-scdma systems</t>
  </si>
  <si>
    <t>高通|KHANDEKAR,Aamod Dinkar|GUMMADI,Srikanth|WANG,Kang|FERTONAN,Dario</t>
  </si>
  <si>
    <t>高通|khandekar aamod dinkar|gummadi srikanth|wang kang|fertonan dario</t>
  </si>
  <si>
    <t>KHANDEKAR,Aamod Dinkar|GUMMADI,Srikanth|WANG,Kang|FERTONAN,Dario</t>
  </si>
  <si>
    <t>KHANDEKAR,Aamod Dinkar</t>
  </si>
  <si>
    <t>2011/07/25</t>
  </si>
  <si>
    <t>CN201080021215.1</t>
  </si>
  <si>
    <t>用于实现改善的频域信道估计的信号消隐</t>
  </si>
  <si>
    <t>S·J·霍华德|T·贾罗辛斯基|D·A·高尔|G·D·巴里克|M·M·王|T·田</t>
  </si>
  <si>
    <t>S·J·霍华德</t>
  </si>
  <si>
    <t>2010/05/11</t>
  </si>
  <si>
    <t>2014/07/09</t>
  </si>
  <si>
    <t>CN200710000314.1</t>
  </si>
  <si>
    <t>一种MIMO传输中的用户配对方法及确定配对因子的方法</t>
  </si>
  <si>
    <t>于  辉|杨  超|陈  峰|范  斌|王文博</t>
  </si>
  <si>
    <t>于  辉</t>
  </si>
  <si>
    <t>2007/01/08</t>
  </si>
  <si>
    <t>2008/07/16</t>
  </si>
  <si>
    <t>20.93</t>
  </si>
  <si>
    <t>13/107,017</t>
  </si>
  <si>
    <t>Efficient group ID management for wireless local area networks (WLANs)</t>
  </si>
  <si>
    <t>Abraham; Santosh Paul|Vermani; Sameer|Wentink; Maarten Menzo|Tandra; Rahul|Sampath; Hemanth</t>
  </si>
  <si>
    <t>2010/05/16</t>
  </si>
  <si>
    <t>2011/05/13</t>
  </si>
  <si>
    <t>13/028,016</t>
  </si>
  <si>
    <t>Efficient group definition and overloading for multiuser MIMO transmissions</t>
  </si>
  <si>
    <t>Abraham; Santosh Paul|Vermani; Sameer|Sampath; Hemanth</t>
  </si>
  <si>
    <t>H04B7/0452</t>
  </si>
  <si>
    <t>13/677,382</t>
  </si>
  <si>
    <t>2012/11/15</t>
  </si>
  <si>
    <t>2017/04/04</t>
  </si>
  <si>
    <t>H04W 84/12</t>
  </si>
  <si>
    <t>H04W84/12</t>
  </si>
  <si>
    <t>CN201180020814.6</t>
  </si>
  <si>
    <t>针对多用户MIMO 传输的高效的组定义和过载</t>
  </si>
  <si>
    <t>S·P·亚伯拉罕|S·韦尔玛尼|H·桑帕斯</t>
  </si>
  <si>
    <t>S·P·亚伯拉罕</t>
  </si>
  <si>
    <t>2011/04/27</t>
  </si>
  <si>
    <t>2016/10/05</t>
  </si>
  <si>
    <t>CN200710154571.0</t>
  </si>
  <si>
    <t>家庭基站的位置限制方法及系统</t>
  </si>
  <si>
    <t>张  凯|方亚东|陈  东|蒋  昕</t>
  </si>
  <si>
    <t>张  凯</t>
  </si>
  <si>
    <t>2008/04/23</t>
  </si>
  <si>
    <t>H04Q7/38H6</t>
  </si>
  <si>
    <t>37.97</t>
  </si>
  <si>
    <t>12/609,426</t>
  </si>
  <si>
    <t>Selection of wireless network in conjunction with selection of a wireless cell set</t>
  </si>
  <si>
    <t>Subramanian; Ramachandran|Horn; Gavin B.|Song; Osok|Deshpande; Manoj M.|Singh; Damanjit|Tenny; Nathan E.</t>
  </si>
  <si>
    <t>Subramanian; Ramachandran</t>
  </si>
  <si>
    <t>2008/11/03</t>
  </si>
  <si>
    <t>2013/12/31</t>
  </si>
  <si>
    <t>12/642,548</t>
  </si>
  <si>
    <t>Maintaining closed subscriber group information for access control</t>
  </si>
  <si>
    <t>Horn; Gavin B.|Subramanian; Ramachandran|Song; Osok</t>
  </si>
  <si>
    <t>Horn; Gavin B.</t>
  </si>
  <si>
    <t>2008/12/23</t>
  </si>
  <si>
    <t>2009/12/18</t>
  </si>
  <si>
    <t>H04W48/02</t>
  </si>
  <si>
    <t>12/573,541</t>
  </si>
  <si>
    <t>Optimized signaling of primary scrambling codes and frequency lists in wireless communications</t>
  </si>
  <si>
    <t>Singh; Damanjit|Chen; Jen Mei|Deshpande; Manoj M.|Pica; Francesco</t>
  </si>
  <si>
    <t>2009/10/05</t>
  </si>
  <si>
    <t>2015/03/31</t>
  </si>
  <si>
    <t>CN200980152047.7</t>
  </si>
  <si>
    <t>保存用于接入控制的封闭用户群信息</t>
  </si>
  <si>
    <t>G·B·霍恩|R·苏布拉马尼安|O·宋</t>
  </si>
  <si>
    <t>G·B·霍恩</t>
  </si>
  <si>
    <t>2014/11/19</t>
  </si>
  <si>
    <t>H04W  4/08</t>
  </si>
  <si>
    <t>CN200710107387.0</t>
  </si>
  <si>
    <t>可扩展的OFDM及OFDMA带宽分配的方法和系统</t>
  </si>
  <si>
    <t>蔡思东</t>
  </si>
  <si>
    <t>2007/03/23</t>
  </si>
  <si>
    <t>2007/06/04</t>
  </si>
  <si>
    <t>H04L5/02Q</t>
  </si>
  <si>
    <t>19.76</t>
  </si>
  <si>
    <t>12/479,553</t>
  </si>
  <si>
    <t>Interference reduction between OFDM carriers by frequency offset optimization</t>
  </si>
  <si>
    <t>Brehler; Matthias|Banister; Brian C.|Gaal; Peter</t>
  </si>
  <si>
    <t>Brehler; Matthias</t>
  </si>
  <si>
    <t>2008/06/09</t>
  </si>
  <si>
    <t>2009/06/05</t>
  </si>
  <si>
    <t>2013/07/23</t>
  </si>
  <si>
    <t>US2009/046785</t>
  </si>
  <si>
    <t>Interference reduction between ofdm carriers by frequency offset optimization</t>
  </si>
  <si>
    <t>高通|BREHLER,Matthias|BANISTER,Brian,C.|GAAL,Peter</t>
  </si>
  <si>
    <t>高通|brehler matthias|banister brian c|gaal peter</t>
  </si>
  <si>
    <t>BREHLER,Matthias|BANISTER,Brian,C.|GAAL,Peter</t>
  </si>
  <si>
    <t>BREHLER,Matthias</t>
  </si>
  <si>
    <t>2009/06/09</t>
  </si>
  <si>
    <t>2009/12/17</t>
  </si>
  <si>
    <t>0.55</t>
  </si>
  <si>
    <t>CN200980121259.9</t>
  </si>
  <si>
    <t>通过载波间隔优化来减少OFDM载波间的干扰</t>
  </si>
  <si>
    <t>M·布雷勒|B·C·巴尼斯特|P·加尔</t>
  </si>
  <si>
    <t>M·布雷勒</t>
  </si>
  <si>
    <t>2014/08/27</t>
  </si>
  <si>
    <t>RU20100154091</t>
  </si>
  <si>
    <t>REDUCTION OF NOISE BETWEEN BEARING OFDM BY OPTIMISATION OF FREQUENCY SHIFT</t>
  </si>
  <si>
    <t>BRELER MATTIAS [US]|BEHNISTER BRAJAN K [US]|GAAL PITER [US]</t>
  </si>
  <si>
    <t>BRELER MATTIAS [US]</t>
  </si>
  <si>
    <t>2012/12/27</t>
  </si>
  <si>
    <t>CN200710149876.2</t>
  </si>
  <si>
    <t>一种协作式小区间干扰消除方法</t>
  </si>
  <si>
    <t>张宇眉|辛  雨|张  欣|杨大成</t>
  </si>
  <si>
    <t>张宇眉</t>
  </si>
  <si>
    <t>2008/02/20</t>
  </si>
  <si>
    <t>H04B1/707F2</t>
  </si>
  <si>
    <t>9.1</t>
  </si>
  <si>
    <t>12/361,124</t>
  </si>
  <si>
    <t>UTRAN enhancements for the support of inter-cell interference cancellation</t>
  </si>
  <si>
    <t>Sambhwani; Sharad Deepak|Flore; Oronzo</t>
  </si>
  <si>
    <t>Sambhwani; Sharad Deepak</t>
  </si>
  <si>
    <t>2008/02/01</t>
  </si>
  <si>
    <t>H04B  1/7103</t>
  </si>
  <si>
    <t>12/727,155</t>
  </si>
  <si>
    <t>Systems, apparatus and methods for interference management in wireless networks</t>
  </si>
  <si>
    <t>Sampath; Ashwin|Rangan; Sundeep|Bachu; Raja Sekhar</t>
  </si>
  <si>
    <t>2010/03/18</t>
  </si>
  <si>
    <t>CN200980127038.2</t>
  </si>
  <si>
    <t>小区间干扰消除框架</t>
  </si>
  <si>
    <t>P·C·布迪亚努|R·保兰基</t>
  </si>
  <si>
    <t>P·C·布迪亚努</t>
  </si>
  <si>
    <t>2008/07/11</t>
  </si>
  <si>
    <t>2014/03/05</t>
  </si>
  <si>
    <t>CN201080012167.X</t>
  </si>
  <si>
    <t>用于无线网络中的干扰管理的系统、装置和方法</t>
  </si>
  <si>
    <t>R·S·巴楚|A·桑佩斯|S·兰格恩</t>
  </si>
  <si>
    <t>R·S·巴楚</t>
  </si>
  <si>
    <t>2010/03/19</t>
  </si>
  <si>
    <t>2015/03/11</t>
  </si>
  <si>
    <t>CN200510114663.7</t>
  </si>
  <si>
    <t>一种宽带接入用户认证方法</t>
  </si>
  <si>
    <t>李敏榆|叶旭光</t>
  </si>
  <si>
    <t>李敏榆</t>
  </si>
  <si>
    <t>2005/10/25</t>
  </si>
  <si>
    <t>2007/05/02</t>
  </si>
  <si>
    <t>H04L  9/32</t>
  </si>
  <si>
    <t>H04L9/32T</t>
  </si>
  <si>
    <t>5.61</t>
  </si>
  <si>
    <t>12/209,440</t>
  </si>
  <si>
    <t>Ticket-based configuration parameters validation</t>
  </si>
  <si>
    <t>Vanderveen; Michaela|Tsirtsis; George|Park; Vincent D.|Corson; M. Scott</t>
  </si>
  <si>
    <t>Vanderveen; Michaela</t>
  </si>
  <si>
    <t>H04L63/0823</t>
  </si>
  <si>
    <t>12/209,432</t>
  </si>
  <si>
    <t>Ticket-based spectrum authorization and access control</t>
  </si>
  <si>
    <t>Vanderveen; Michaela|Xiao; Lu</t>
  </si>
  <si>
    <t>13/857,046</t>
  </si>
  <si>
    <t>Vanderveen; Michaela|Tsirtsis; Georgios|Park; Vincent D.|Corson; Mathew Scott</t>
  </si>
  <si>
    <t>12/241,399</t>
  </si>
  <si>
    <t>Third party validation of internet protocol addresses</t>
  </si>
  <si>
    <t>Tsirtsis; George</t>
  </si>
  <si>
    <t>H04L29/12783</t>
  </si>
  <si>
    <t>CN00125372.7</t>
  </si>
  <si>
    <t>一种WCDMA系统中外环功率控制的方法</t>
  </si>
  <si>
    <t>郁瑶|张峻峰</t>
  </si>
  <si>
    <t>郁瑶</t>
  </si>
  <si>
    <t>2000/09/19</t>
  </si>
  <si>
    <t>2002/02/13</t>
  </si>
  <si>
    <t>H04J 13/00</t>
  </si>
  <si>
    <t>H04B7/005B4D1</t>
  </si>
  <si>
    <t>16.67</t>
  </si>
  <si>
    <t>CN028243609</t>
  </si>
  <si>
    <t>具有不连续发送的通信信道的功率控制外部环路</t>
  </si>
  <si>
    <t>L·布莱森特|Y·C·G·林|K·W·圣斯|S·尤恩</t>
  </si>
  <si>
    <t>L·布莱森特</t>
  </si>
  <si>
    <t>2001/10/05</t>
  </si>
  <si>
    <t>2002/04/24</t>
  </si>
  <si>
    <t>2008/06/11</t>
  </si>
  <si>
    <t>CN038070251</t>
  </si>
  <si>
    <t>具有非连续传输检测的通信设备中提供外环路功率控制的方法和装置</t>
  </si>
  <si>
    <t>Y·－C·林|K·W·杉恩茨|S·永恩</t>
  </si>
  <si>
    <t>Y·－C·林</t>
  </si>
  <si>
    <t>2002/01/31</t>
  </si>
  <si>
    <t>2003/01/31</t>
  </si>
  <si>
    <t>2008/07/09</t>
  </si>
  <si>
    <t>CN200480007387.8</t>
  </si>
  <si>
    <t>用于无线通信系统的外环功率控制</t>
  </si>
  <si>
    <t>Y·魏|T·陈</t>
  </si>
  <si>
    <t>Y·魏</t>
  </si>
  <si>
    <t>2003/02/18</t>
  </si>
  <si>
    <t>2004/02/18</t>
  </si>
  <si>
    <t>2008/12/03</t>
  </si>
  <si>
    <t>CN038098911</t>
  </si>
  <si>
    <t>无线通信系统内减少干扰的方法和装置</t>
  </si>
  <si>
    <t>S·维伦尼格|A·H·瓦亚诺斯|D·P·马拉迪|E·G·小蒂德曼|F·格利里|J·J·布兰兹</t>
  </si>
  <si>
    <t>S·维伦尼格</t>
  </si>
  <si>
    <t>2002/03/14</t>
  </si>
  <si>
    <t>2003/03/13</t>
  </si>
  <si>
    <t>13/511,428</t>
  </si>
  <si>
    <t>Method and System for Recovering Lost Media Data Packets</t>
  </si>
  <si>
    <t>Huang; Yuxuan</t>
  </si>
  <si>
    <t>2010/10/26</t>
  </si>
  <si>
    <t>2012/10/25</t>
  </si>
  <si>
    <t>14/289,458</t>
  </si>
  <si>
    <t>Transport accelerator implementing selective utilization of redundant encoded content data functionality</t>
  </si>
  <si>
    <t>Luby; Michael George|Kunamalla; Shravya|Minder; Lorenz Christoph</t>
  </si>
  <si>
    <t>H04L1/0009</t>
  </si>
  <si>
    <t>14/157,290</t>
  </si>
  <si>
    <t>FEC-based reliable transport control protocols for multipath streaming</t>
  </si>
  <si>
    <t>2013/01/17</t>
  </si>
  <si>
    <t>2014/01/16</t>
  </si>
  <si>
    <t>14/289,403</t>
  </si>
  <si>
    <t>Transport accelerator implementing request manager and connection manager functionality</t>
  </si>
  <si>
    <t>Luby; Michael George|Minder; Lorenz Christoph|Mao; Yinian</t>
  </si>
  <si>
    <t>H04L 29/08</t>
  </si>
  <si>
    <t>14/289,499</t>
  </si>
  <si>
    <t>Transport accelerator implementing client side transmission functionality</t>
  </si>
  <si>
    <t>13/257,660</t>
  </si>
  <si>
    <t>Method and Device for Detecting Downlink Control Information</t>
  </si>
  <si>
    <t>Dai; Bo|Wu; Xin|Zeng; Ping|Zuo; Zhisong</t>
  </si>
  <si>
    <t>Dai; Bo</t>
  </si>
  <si>
    <t>2010/01/08</t>
  </si>
  <si>
    <t>2010/06/30</t>
  </si>
  <si>
    <t>2012/10/18</t>
  </si>
  <si>
    <t>0.91</t>
  </si>
  <si>
    <t>13/209,389</t>
  </si>
  <si>
    <t>ACK/NACK transmission for multi-carrier operation with downlink assignment index</t>
  </si>
  <si>
    <t>Chen; Wanshi|Zhang; Xiaoxia|Gaal; Peter|Montojo; Juan|Luo; Xiliang|Luo; Tao|Damnjanovic; Jelena M.|Damnjanovic; Aleksandar</t>
  </si>
  <si>
    <t>2010/08/16</t>
  </si>
  <si>
    <t>2011/08/13</t>
  </si>
  <si>
    <t>13/209,388</t>
  </si>
  <si>
    <t>ACK/NACK transmission for multi-carrier operation</t>
  </si>
  <si>
    <t>0.18</t>
  </si>
  <si>
    <t>13/789,520</t>
  </si>
  <si>
    <t>Common search space for EPDCCH in LTE</t>
  </si>
  <si>
    <t>Luo; Tao|Chen; Wanshi|Gaal; Peter</t>
  </si>
  <si>
    <t>14/792,283</t>
  </si>
  <si>
    <t>Chen; Wanshi|Zhang; Xiaoxia|Gaal; Peter|Montojo; Juan|Luo; Xiliang|Luo; Tao|Damnjanovic; Jelena|Damnjanovic; Aleksandar</t>
  </si>
  <si>
    <t>2015/07/06</t>
  </si>
  <si>
    <t>13/340,595</t>
  </si>
  <si>
    <t>ENABLING HANDOFF FOR MULTIPLE PACKET DATA NETWORK CONNECTIONS</t>
  </si>
  <si>
    <t>Bhalla; Rajesh</t>
  </si>
  <si>
    <t>2010/12/30</t>
  </si>
  <si>
    <t>2011/12/29</t>
  </si>
  <si>
    <t>2012/07/05</t>
  </si>
  <si>
    <t>13/398,627</t>
  </si>
  <si>
    <t>Methods and apparatus to reduce a time to transfer multiple PDN contexts during inter-radio access technology handoff</t>
  </si>
  <si>
    <t>Chilla; Rajashekar|Khatri; Shrawan K.</t>
  </si>
  <si>
    <t>Chilla; Rajashekar</t>
  </si>
  <si>
    <t>2011/02/24</t>
  </si>
  <si>
    <t>13/776,644</t>
  </si>
  <si>
    <t>Systems and methods for samog bearer management</t>
  </si>
  <si>
    <t>Zhao; Suli|Balasubramanian; Srinivasan</t>
  </si>
  <si>
    <t>Zhao; Suli</t>
  </si>
  <si>
    <t>H04W 28/02</t>
  </si>
  <si>
    <t>H04W28/0268</t>
  </si>
  <si>
    <t>13/633,299</t>
  </si>
  <si>
    <t>Evolution-data optimized (EVDO) session handling during mobility with support for S101 signaling interface</t>
  </si>
  <si>
    <t>Zhao; Suli|Ju; Shian-De</t>
  </si>
  <si>
    <t>2011/10/03</t>
  </si>
  <si>
    <t>2012/10/02</t>
  </si>
  <si>
    <t>H04W60/005</t>
  </si>
  <si>
    <t>15/145,169</t>
  </si>
  <si>
    <t>Systems and methods for SaMOG bearer management</t>
  </si>
  <si>
    <t>2016/05/03</t>
  </si>
  <si>
    <t>13/266,109</t>
  </si>
  <si>
    <t>METHOD AND APPARATUS FOR DETERMINING MATCHING OF INTER-CELL RESELECTION PARAMETERS AND HANDOVER PARAMETERS</t>
  </si>
  <si>
    <t>Han; Lifeng|He; Feng</t>
  </si>
  <si>
    <t>Han; Lifeng</t>
  </si>
  <si>
    <t>2009/04/22</t>
  </si>
  <si>
    <t>2010/04/22</t>
  </si>
  <si>
    <t>2.65</t>
  </si>
  <si>
    <t>13/008,869</t>
  </si>
  <si>
    <t>FRAME STRUCTURE FOR MULTI-HOP RELAY IN WIRELESS COMMUNICATION SYSTEMS</t>
  </si>
  <si>
    <t>2011/01/18</t>
  </si>
  <si>
    <t>H04W 40/02</t>
  </si>
  <si>
    <t>12/365,777</t>
  </si>
  <si>
    <t>System and method for scheduling over multiple hops</t>
  </si>
  <si>
    <t>Horn; Gavin B.|Agrawal; Avneesh|Sampath; Ashwin|Gorokhov; Alexei Y.|Bhushan; Naga</t>
  </si>
  <si>
    <t>2009/02/04</t>
  </si>
  <si>
    <t>H04W72/0486</t>
  </si>
  <si>
    <t>1.95</t>
  </si>
  <si>
    <t>13/760,451</t>
  </si>
  <si>
    <t>Systems, apparatus, and methods for range extension of wireless communication</t>
  </si>
  <si>
    <t>Vardhan; Anurag|Krasnyanskiy; Maksim|Cherian; George</t>
  </si>
  <si>
    <t>Vardhan; Anurag</t>
  </si>
  <si>
    <t>2012/11/02</t>
  </si>
  <si>
    <t>H04W 16/26</t>
  </si>
  <si>
    <t>H04W16/26</t>
  </si>
  <si>
    <t>12/807,358</t>
  </si>
  <si>
    <t>Connectionless modes for wireless machine to machine communications in wireless communication networks</t>
  </si>
  <si>
    <t>Fang; Yonggang|Zhao; Xiaowu|Lu; Ting|Yu; YuanFang</t>
  </si>
  <si>
    <t>2010/09/01</t>
  </si>
  <si>
    <t>4.87</t>
  </si>
  <si>
    <t>13/363,538</t>
  </si>
  <si>
    <t>Adaptive flexible bandwidth wireless systems</t>
  </si>
  <si>
    <t>Soliman; Samir Salib|Gregory; Sherman A.</t>
  </si>
  <si>
    <t>Soliman; Samir Salib</t>
  </si>
  <si>
    <t>2012/02/01</t>
  </si>
  <si>
    <t>13/476,647</t>
  </si>
  <si>
    <t>Signaling and traffic carrier splitting for wireless communications systems</t>
  </si>
  <si>
    <t>Awoniyi; Olufunmilola O.|Soliman; Samir Salib|Song; Bongyong|Das; Soumya|Park; Edwin C.</t>
  </si>
  <si>
    <t>Awoniyi; Olufunmilola O.</t>
  </si>
  <si>
    <t>2015/12/22</t>
  </si>
  <si>
    <t>H04W72/0453</t>
  </si>
  <si>
    <t>13/662,845</t>
  </si>
  <si>
    <t>Assistance information for flexible bandwidth carrier mobility methods, systems, and devices</t>
  </si>
  <si>
    <t>Awoniyi; Olufunmilola O.|Das; Soumya|Park; Edwin C.|Quick, Jr.; Roy Franklin|Soliman; Samir Salib</t>
  </si>
  <si>
    <t>2016/12/06</t>
  </si>
  <si>
    <t>13/670,308</t>
  </si>
  <si>
    <t>Bandwidth information determination for flexible bandwidth carriers</t>
  </si>
  <si>
    <t>2016/12/27</t>
  </si>
  <si>
    <t>12/595,622</t>
  </si>
  <si>
    <t>UPDATE METHOD OF WIRELESS RELAY STATION LINK RELATION</t>
  </si>
  <si>
    <t>Cai; Sean|Xu; Ling</t>
  </si>
  <si>
    <t>2007/04/13</t>
  </si>
  <si>
    <t>2010/03/04</t>
  </si>
  <si>
    <t>H04B7/155</t>
  </si>
  <si>
    <t>3.88</t>
  </si>
  <si>
    <t>13/228,671</t>
  </si>
  <si>
    <t>Feedback protocol for end-to-end multiple path network systems</t>
  </si>
  <si>
    <t>Huang; Xiaolong|Luo; Xun|Raveendran; Vijayalakshmi R.</t>
  </si>
  <si>
    <t>Huang; Xiaolong</t>
  </si>
  <si>
    <t>2011/09/09</t>
  </si>
  <si>
    <t>H04L43/0864</t>
  </si>
  <si>
    <t>13/480,326</t>
  </si>
  <si>
    <t>Multipath overlay network and its multipath management protocol</t>
  </si>
  <si>
    <t>Viswanathan; Ramanathan|Huang; Xiaolong|Raveendran; Vijayalakshmi R.</t>
  </si>
  <si>
    <t>Viswanathan; Ramanathan</t>
  </si>
  <si>
    <t>2011/05/26</t>
  </si>
  <si>
    <t>2012/05/24</t>
  </si>
  <si>
    <t>13/116,980</t>
  </si>
  <si>
    <t>Huang; Xiaolong|Raveendran; Vijayalakshmi R.|Luo; Xun</t>
  </si>
  <si>
    <t>H04L67/104</t>
  </si>
  <si>
    <t>TW101118741</t>
  </si>
  <si>
    <t>多路径覆盖网路及其多路径管理协定（二）</t>
  </si>
  <si>
    <t>菲瓦纳森拉曼纳森|黄小龙|瑞维恩德伦维嘉亚拉克许米Ｒ</t>
  </si>
  <si>
    <t>菲瓦纳森拉曼纳森</t>
  </si>
  <si>
    <t>2012/05/25</t>
  </si>
  <si>
    <t>2015/11/01</t>
  </si>
  <si>
    <t>H04W 92/10</t>
  </si>
  <si>
    <t>11/249010</t>
  </si>
  <si>
    <t>Encoding and decoding of frame control header in downlink subframes in wireless communication systems</t>
  </si>
  <si>
    <t>Zhang; Wenfeng|Zhang; Wenzhong|Wu; Jun|Fang; Yonggang</t>
  </si>
  <si>
    <t>Zhang; Wenfeng</t>
  </si>
  <si>
    <t>2004/10/12</t>
  </si>
  <si>
    <t>2005/10/11</t>
  </si>
  <si>
    <t>2006/04/20</t>
  </si>
  <si>
    <t>7.59</t>
  </si>
  <si>
    <t>11/969,349</t>
  </si>
  <si>
    <t>Methods and apparatus for maximum ratio combining for duplicated signals in OFDMA systems</t>
  </si>
  <si>
    <t>Park; Jong Hyeon|Chang; Tae Ryun|Kim; Je Woo</t>
  </si>
  <si>
    <t>2012/01/10</t>
  </si>
  <si>
    <t>H04L5/0046</t>
  </si>
  <si>
    <t>12/778,605</t>
  </si>
  <si>
    <t>Tail-biting convolutional decoding</t>
  </si>
  <si>
    <t>Doan; Dung N.|Wolf; Jack K.|Wei; Yongbin</t>
  </si>
  <si>
    <t>Doan; Dung N.</t>
  </si>
  <si>
    <t>H04L 27/06</t>
  </si>
  <si>
    <t>H03M13/413</t>
  </si>
  <si>
    <t>US2008/067164</t>
  </si>
  <si>
    <t>Methods and apparatus for maximum ratio combining for duplicated signals in ofdma systems</t>
  </si>
  <si>
    <t>高通|PARK,Jong Hyeon|CHANG,Tae Ryun|KIM,Je Woo</t>
  </si>
  <si>
    <t>高通|park jong hyeon|chang tae ryun|kim je woo</t>
  </si>
  <si>
    <t>PARK,Jong Hyeon|CHANG,Tae Ryun|KIM,Je Woo</t>
  </si>
  <si>
    <t>PARK,Jong Hyeon</t>
  </si>
  <si>
    <t>2008/06/16</t>
  </si>
  <si>
    <t>2009/07/16</t>
  </si>
  <si>
    <t>TW097126994</t>
  </si>
  <si>
    <t>正交分频多重存取（ＯＦＤＭＡ）系统中复制讯号之最大比组合之方法及装置</t>
  </si>
  <si>
    <t>补中勇|张泰勇|金杰悟</t>
  </si>
  <si>
    <t>补中勇</t>
  </si>
  <si>
    <t>H04L 25/03</t>
  </si>
  <si>
    <t>11/858,118</t>
  </si>
  <si>
    <t>H04B7/15542</t>
  </si>
  <si>
    <t>4.25</t>
  </si>
  <si>
    <t>CN2013/077834</t>
  </si>
  <si>
    <t>Wlan hotspot search control method and device</t>
  </si>
  <si>
    <t>HUANG,Xiang|WEI,Yuan</t>
  </si>
  <si>
    <t>HUANG,Xiang</t>
  </si>
  <si>
    <t>2012/08/07</t>
  </si>
  <si>
    <t>2013/12/05</t>
  </si>
  <si>
    <t>H04W 48/16</t>
  </si>
  <si>
    <t>13/796,200</t>
  </si>
  <si>
    <t>Method and apparatus for scanning for a wireless access point</t>
  </si>
  <si>
    <t>2013/03/12</t>
  </si>
  <si>
    <t>14/831,012</t>
  </si>
  <si>
    <t>2015/08/20</t>
  </si>
  <si>
    <t>2016/12/20</t>
  </si>
  <si>
    <t>US2014/018613</t>
  </si>
  <si>
    <t>2014/02/26</t>
  </si>
  <si>
    <t>2014/10/09</t>
  </si>
  <si>
    <t>H04W 48/20</t>
  </si>
  <si>
    <t>CN2011/074175</t>
  </si>
  <si>
    <t>Interference cancellation method and device in wireless communication system</t>
  </si>
  <si>
    <t>中兴通讯|中兴通讯股份有限公司 LI,Yan|李焱</t>
  </si>
  <si>
    <t>LI,Yan|李焱|YI,Liqiang</t>
  </si>
  <si>
    <t>2010/11/19</t>
  </si>
  <si>
    <t>2011/05/17</t>
  </si>
  <si>
    <t>H04W 36/20</t>
  </si>
  <si>
    <t>0.81</t>
  </si>
  <si>
    <t>14/021,823</t>
  </si>
  <si>
    <t>Secondary synchronization signal (SSS) post-processing to eliminate short code collision induced false cells</t>
  </si>
  <si>
    <t>Gorokhov; Alexei Yurievitch|Ma; Jun|Bhattad; Kapil|Luo; Tao</t>
  </si>
  <si>
    <t>Gorokhov; Alexei Yurievitch</t>
  </si>
  <si>
    <t>2012/09/10</t>
  </si>
  <si>
    <t>2013/09/09</t>
  </si>
  <si>
    <t>US2013/059043</t>
  </si>
  <si>
    <t>Secondary synchronization signal (sss) post-processing to eliminate short code collision induced false cells</t>
  </si>
  <si>
    <t>GOROKHOV,Alexei Yurievitch|MA,Jun|BHATTAD,Kapil|LUO,Tao</t>
  </si>
  <si>
    <t>GOROKHOV,Alexei Yurievitch</t>
  </si>
  <si>
    <t>2014/03/13</t>
  </si>
  <si>
    <t>WO2013US59043</t>
  </si>
  <si>
    <t>SECONDARY SYNCHRONIZATION SIGNAL (SSS) POST-PROCESSING TO ELIMINATE SHORT CODE COLLISION INDUCED FALSE CELLS</t>
  </si>
  <si>
    <t>GOROKHOV ALEXEI YURIEVITCH|MA JUN|BHATTAD KAPIL|LUO TAO</t>
  </si>
  <si>
    <t>GOROKHOV ALEXEI YURIEVITCH</t>
  </si>
  <si>
    <t>2014/05/22</t>
  </si>
  <si>
    <t>CN2010/077683</t>
  </si>
  <si>
    <t>File downloading method and device based on wireless fidelity wifi</t>
  </si>
  <si>
    <t>中兴通讯|中兴通讯股份有限公司 ZHOU,Kai</t>
  </si>
  <si>
    <t>ZHOU,Kai|周凯</t>
  </si>
  <si>
    <t>ZHOU,Kai</t>
  </si>
  <si>
    <t>2012/01/26</t>
  </si>
  <si>
    <t>13/794,511</t>
  </si>
  <si>
    <t>Exchanging a contact profile between client devices during a communication session</t>
  </si>
  <si>
    <t>Jain; Nikhil|Krishnan; Ram|Menendez; Jose R|Joyce, III; Gerald P|Deshpande; Manoj M</t>
  </si>
  <si>
    <t>2013/03/11</t>
  </si>
  <si>
    <t>H04L67/306</t>
  </si>
  <si>
    <t>14/832,198</t>
  </si>
  <si>
    <t>Jain; Nikhil|Krishnan; Ram|Menendez; Jose Roberto|Joyce, III; Gerald Patrick|Deshpande; Manoj</t>
  </si>
  <si>
    <t>2015/08/21</t>
  </si>
  <si>
    <t>13/833,609</t>
  </si>
  <si>
    <t>System and method for allowing multiple devices to communicate in a network</t>
  </si>
  <si>
    <t>Jain; Nikhil|Deshpande; Manoj M|Menendez; Jose R</t>
  </si>
  <si>
    <t>2013/03/15</t>
  </si>
  <si>
    <t>2017/04/11</t>
  </si>
  <si>
    <t>CN2010/073631</t>
  </si>
  <si>
    <t>Method and device for worldwide interoperability for microwave access (wimax) system paging terminals in idle mode</t>
  </si>
  <si>
    <t>YANG,Renhui</t>
  </si>
  <si>
    <t>2009/12/30</t>
  </si>
  <si>
    <t>2010/06/07</t>
  </si>
  <si>
    <t>1.5</t>
  </si>
  <si>
    <t>13/538,894</t>
  </si>
  <si>
    <t>System and method for controlling paging delay</t>
  </si>
  <si>
    <t>Teague; Edward Harrison|Tian; Qingjiang|Julian; David Jonathan|Jia; Zhanfeng</t>
  </si>
  <si>
    <t>2012/06/29</t>
  </si>
  <si>
    <t>US2013/048644</t>
  </si>
  <si>
    <t>TEAGUE,Edward Harrison|TIAN,Qingjiang|JULIAN,David Jonathan|JIA,Zhanfeng</t>
  </si>
  <si>
    <t>TEAGUE,Edward Harrison</t>
  </si>
  <si>
    <t>2013/06/28</t>
  </si>
  <si>
    <t>2014/01/03</t>
  </si>
  <si>
    <t>EP20130737747</t>
  </si>
  <si>
    <t>Edward Harrison Teague|Qingjiang Tian|David Jonathan Julian|Zhanfeng Jia</t>
  </si>
  <si>
    <t>Edward Harrison Teague</t>
  </si>
  <si>
    <t>2016/03/23</t>
  </si>
  <si>
    <t>CN2009/070070</t>
  </si>
  <si>
    <t>A control method, system, and device for circuit domain fallback</t>
  </si>
  <si>
    <t>中兴通讯|中兴通讯股份有限公司 HU,Ying|胡英 YU,Zhiming|余志铭</t>
  </si>
  <si>
    <t>HU,Ying|胡英|YU,Zhiming|余志铭|ZONG,Zaifeng</t>
  </si>
  <si>
    <t>HU,Ying</t>
  </si>
  <si>
    <t>2008/01/24</t>
  </si>
  <si>
    <t>2009/08/06</t>
  </si>
  <si>
    <t>9.40</t>
  </si>
  <si>
    <t>13/014,583</t>
  </si>
  <si>
    <t>Methods and apparatus for calling party number display solutions for 1xCSFB</t>
  </si>
  <si>
    <t>Shirota; Masakazu|Wang; Jun|Cherian; George|Swaminathan; Arvind|Balasubramanian; Srinivasan|Patwardhan; Ravindra Manohar</t>
  </si>
  <si>
    <t>2010/05/18</t>
  </si>
  <si>
    <t>2011/01/26</t>
  </si>
  <si>
    <t>H04W36/0022</t>
  </si>
  <si>
    <t>US2011/037050</t>
  </si>
  <si>
    <t>Methods and apparatus for calling party number display solutions for 1xcsfb</t>
  </si>
  <si>
    <t>高通|SHIROTA,Masakazu|WANG,Jun|CHERIAN,George|SWAMINATHAN,Arvind|BALASUBRAMANIAN,Srinivasan|PATWARDHAN,Ravindra,Manohar</t>
  </si>
  <si>
    <t>高通|shirota masakazu|wang jun|cherian george|swaminathan arvind|balasubramanian srinivasan|patwardhan ravindra manohar</t>
  </si>
  <si>
    <t>SHIROTA,Masakazu|WANG,Jun|CHERIAN,George|SWAMINATHAN,Arvind|BALASUBRAMANIAN,Srinivasan|PATWARDHAN,Ravindra,Manohar</t>
  </si>
  <si>
    <t>SHIROTA,Masakazu</t>
  </si>
  <si>
    <t>2011/05/18</t>
  </si>
  <si>
    <t>US2011/051638</t>
  </si>
  <si>
    <t>System and method of improving circuit-switched fallback user experience</t>
  </si>
  <si>
    <t>高通|RAMACHANDRAN,Shyamal|KLINGENBRUNN,Thomas</t>
  </si>
  <si>
    <t>高通|ramachandran shyamal|klingenbrunn thomas</t>
  </si>
  <si>
    <t>RAMACHANDRAN,Shyamal|KLINGENBRUNN,Thomas</t>
  </si>
  <si>
    <t>RAMACHANDRAN,Shyamal</t>
  </si>
  <si>
    <t>2012/03/22</t>
  </si>
  <si>
    <t>H04W 68/12</t>
  </si>
  <si>
    <t>US2008/067787</t>
  </si>
  <si>
    <t>Handover between wireless cellular network and private network in wireless communications</t>
  </si>
  <si>
    <t>中兴通讯|SO,Tricci|CHOW,Jerry Pak Lup</t>
  </si>
  <si>
    <t>中兴通讯|so tricci|chow jerry pak lup</t>
  </si>
  <si>
    <t>SO,Tricci|CHOW,Jerry Pak Lup</t>
  </si>
  <si>
    <t>SO,Tricci</t>
  </si>
  <si>
    <t>2008/06/20</t>
  </si>
  <si>
    <t>2008/12/24</t>
  </si>
  <si>
    <t>12.4</t>
  </si>
  <si>
    <t>13/073,049</t>
  </si>
  <si>
    <t>Maintaining different virtual active sets for different cell types</t>
  </si>
  <si>
    <t>Singh; Damanjit|Radulescu; Andrei Dragos</t>
  </si>
  <si>
    <t>2010/03/29</t>
  </si>
  <si>
    <t>2011/03/28</t>
  </si>
  <si>
    <t>12/247,633</t>
  </si>
  <si>
    <t>Identification of target node for wireless handoff</t>
  </si>
  <si>
    <t>2008/10/08</t>
  </si>
  <si>
    <t>H04W36/30</t>
  </si>
  <si>
    <t>CN201180017423.9</t>
  </si>
  <si>
    <t>针对不同的小区类型维持不同的虚拟活动集</t>
  </si>
  <si>
    <t>D·辛格|A·D·勒杜列斯库</t>
  </si>
  <si>
    <t>D·辛格</t>
  </si>
  <si>
    <t>2011/03/29</t>
  </si>
  <si>
    <t>2016/02/24</t>
  </si>
  <si>
    <t>US2008/003900</t>
  </si>
  <si>
    <t>Scalable ofdm and ofdma bandwidth allocation in communication systems</t>
  </si>
  <si>
    <t>2008/03/24</t>
  </si>
  <si>
    <t>2008/10/02</t>
  </si>
  <si>
    <t>2.29</t>
  </si>
  <si>
    <t>PCT/US2005/02676.6</t>
  </si>
  <si>
    <t>Transmission and reception of reference preamble signals in ofdma or ofdm communication systems</t>
  </si>
  <si>
    <t>中兴通讯|Hou,Jason|Wang,Jing|Cai,Sean|Feng,Dazi|Fang,Yonggang|Yang,Yunsong</t>
  </si>
  <si>
    <t>中兴通讯|hou jason|wang jing|cai sean|feng dazi|fang yonggang|yang yunsong</t>
  </si>
  <si>
    <t>Hou,Jason|Wang,Jing|Cai,Sean|Feng,Dazi|Fang,Yonggang|Yang,Yunsong</t>
  </si>
  <si>
    <t>Hou,Jason</t>
  </si>
  <si>
    <t>2004/07/27</t>
  </si>
  <si>
    <t>2005/07/27</t>
  </si>
  <si>
    <t>2006/02/09</t>
  </si>
  <si>
    <t>39.21</t>
  </si>
  <si>
    <t>11/971,872</t>
  </si>
  <si>
    <t>Transmission of information using cyclically shifted sequences</t>
  </si>
  <si>
    <t>Malladi; Durga Prasad|Kim; Byoung-Hoon</t>
  </si>
  <si>
    <t>Malladi; Durga Prasad</t>
  </si>
  <si>
    <t>2007/01/10</t>
  </si>
  <si>
    <t>2008/01/09</t>
  </si>
  <si>
    <t>CN200880001991.8</t>
  </si>
  <si>
    <t>快速小区搜索</t>
  </si>
  <si>
    <t>D·P·马拉蒂|B·金|罗涛</t>
  </si>
  <si>
    <t>D·P·马拉蒂</t>
  </si>
  <si>
    <t>2008/01/10</t>
  </si>
  <si>
    <t>2013/12/04</t>
  </si>
  <si>
    <t>TW097101027</t>
  </si>
  <si>
    <t>使用循环往复地移位序列的资讯传输</t>
  </si>
  <si>
    <t>德加　普雷沙　麦帝|金炳勋</t>
  </si>
  <si>
    <t>德加　普雷沙　麦帝</t>
  </si>
  <si>
    <t>2014/12/21</t>
  </si>
  <si>
    <t>PCT/CN2003/00112.9</t>
  </si>
  <si>
    <t>Multi-path search method of code-division multiple-access system</t>
  </si>
  <si>
    <t>中兴通讯|Ding,Jiewei</t>
  </si>
  <si>
    <t>中兴通讯|ding jiewei</t>
  </si>
  <si>
    <t>Ding,Jiewei</t>
  </si>
  <si>
    <t>2003/12/26</t>
  </si>
  <si>
    <t>2005/07/14</t>
  </si>
  <si>
    <t>3.12</t>
  </si>
  <si>
    <t>12/244,535</t>
  </si>
  <si>
    <t>Methods and apparatus for mobility support and IP multimedia subsystem (IMS) registration in a multimode network environment</t>
  </si>
  <si>
    <t>Balasubramanian; Srinivasan|Bharadwaj; Murali</t>
  </si>
  <si>
    <t>2007/10/09</t>
  </si>
  <si>
    <t>2014/06/03</t>
  </si>
  <si>
    <t>H04W8/06</t>
  </si>
  <si>
    <t>12/244,529</t>
  </si>
  <si>
    <t>Methods and apparatus for mobility support between network domains</t>
  </si>
  <si>
    <t>H04W36/14</t>
  </si>
  <si>
    <t>CN200880119891.5</t>
  </si>
  <si>
    <t>用于多模网络环境中的移动性支持和IP多媒体子系统(IMS)注册的方法和装置</t>
  </si>
  <si>
    <t>S·巴拉苏布拉马尼安|M·巴拉德瓦杰</t>
  </si>
  <si>
    <t>S·巴拉苏布拉马尼安</t>
  </si>
  <si>
    <t>2008/10/03</t>
  </si>
  <si>
    <t>2013/12/25</t>
  </si>
  <si>
    <t>H04W  8/06</t>
  </si>
  <si>
    <t>EP20090851367</t>
  </si>
  <si>
    <t>Method and system for acquiring capability supporting services over adaptive multi-user channels on one slot of a mobile terminal</t>
  </si>
  <si>
    <t>WANG XINHUI|LI JING</t>
  </si>
  <si>
    <t>WANG XINHUI</t>
  </si>
  <si>
    <t>2009/11/17</t>
  </si>
  <si>
    <t>2012/09/12</t>
  </si>
  <si>
    <t>H04W 88/00</t>
  </si>
  <si>
    <t>H04W88/181</t>
  </si>
  <si>
    <t>13/897,387</t>
  </si>
  <si>
    <t>System and methods for increasing network efficiency using VAMOS channels on a multi-SIM device</t>
  </si>
  <si>
    <t>Dhanda; Mungal S.|Yu; Zhi-Zhong|Sikri; Divaydeep</t>
  </si>
  <si>
    <t>Dhanda; Mungal S.</t>
  </si>
  <si>
    <t>2013/05/18</t>
  </si>
  <si>
    <t>H04W72/048</t>
  </si>
  <si>
    <t>14/204,915</t>
  </si>
  <si>
    <t>Opportunistic receive diversity for multi-subscriber scenario</t>
  </si>
  <si>
    <t>Vadlamudi; Venkata Girish|Gude; Venkata Siva Prasad Rao|Sahu; Debesh Kumar|Yu; Zhi-Zhong</t>
  </si>
  <si>
    <t>Vadlamudi; Venkata Girish</t>
  </si>
  <si>
    <t>2014/03/11</t>
  </si>
  <si>
    <t>H04W72/0446</t>
  </si>
  <si>
    <t>US2014/038523</t>
  </si>
  <si>
    <t>System and methods for increasing network efficiency using vamos channels on a multi-sim device</t>
  </si>
  <si>
    <t>DHANDA,Mungal Singh|YU,Zhi-Zhong|SIKRI,Divaydeep</t>
  </si>
  <si>
    <t>2014/05/17</t>
  </si>
  <si>
    <t>EP20090706986</t>
  </si>
  <si>
    <t>HU YING|YU ZHIMING|ZONG ZAIFENG|YE MINYA|WANG ZHIHAI</t>
  </si>
  <si>
    <t>HU YING</t>
  </si>
  <si>
    <t>2010/11/03</t>
  </si>
  <si>
    <t>H04W76/027</t>
  </si>
  <si>
    <t>US2012/024179</t>
  </si>
  <si>
    <t>Method and apparatus for system level solution for different service co -existence</t>
  </si>
  <si>
    <t>高通|FRANKLAND,Stephen</t>
  </si>
  <si>
    <t>高通|frankland stephen</t>
  </si>
  <si>
    <t>FRANKLAND,Stephen</t>
  </si>
  <si>
    <t>2011/02/07</t>
  </si>
  <si>
    <t>2012/02/07</t>
  </si>
  <si>
    <t>2012/08/16</t>
  </si>
  <si>
    <t>CN201180057900.4</t>
  </si>
  <si>
    <t>用于提供鲁棒的电路交换回退过程的方法和装置</t>
  </si>
  <si>
    <t>F·M-M·恩盖|R·沙希迪</t>
  </si>
  <si>
    <t>F·M-M·恩盖</t>
  </si>
  <si>
    <t>2010/12/02</t>
  </si>
  <si>
    <t>2011/12/02</t>
  </si>
  <si>
    <t>2016/05/25</t>
  </si>
  <si>
    <t>EP20080783830</t>
  </si>
  <si>
    <t>Method for controlling enhanced uplink power</t>
  </si>
  <si>
    <t>CHEN HUI|ZHANG YINCHENG|LIU HU</t>
  </si>
  <si>
    <t>CHEN HUI</t>
  </si>
  <si>
    <t>2007/08/01</t>
  </si>
  <si>
    <t>2008/07/31</t>
  </si>
  <si>
    <t>H04W 52/44</t>
  </si>
  <si>
    <t>H04W52/08</t>
  </si>
  <si>
    <t>13/779,383</t>
  </si>
  <si>
    <t>Updating a base reference power for high speed data resumption</t>
  </si>
  <si>
    <t>Yang; Ming|Chin; Tom|Chen; Qingxin|Shi; Guangming</t>
  </si>
  <si>
    <t>Yang; Ming</t>
  </si>
  <si>
    <t>2013/02/27</t>
  </si>
  <si>
    <t>2015/03/10</t>
  </si>
  <si>
    <t>H04W52/38</t>
  </si>
  <si>
    <t>12/841,050</t>
  </si>
  <si>
    <t>Uplink control and data transmission in a mixed single and multiple carrier network</t>
  </si>
  <si>
    <t>Montojo; Juan|Gaal; Peter|Malladi; Durga Prasad</t>
  </si>
  <si>
    <t>2009/07/22</t>
  </si>
  <si>
    <t>US2014/042144</t>
  </si>
  <si>
    <t>ADAPTIVE TRANSMIT POWER CONTROL (TPC)STEP SIZE IN A HIGH SPEED DATA NETWORK</t>
  </si>
  <si>
    <t>YANG,Ming|CHIN,Tom|CHEN,Qingxin|SHI,Guangming</t>
  </si>
  <si>
    <t>YANG,Ming</t>
  </si>
  <si>
    <t>2013/06/14</t>
  </si>
  <si>
    <t>2014/06/12</t>
  </si>
  <si>
    <t>2014/12/18</t>
  </si>
  <si>
    <t>EP20070785225</t>
  </si>
  <si>
    <t>A method for reducing information load of a packet service control channel</t>
  </si>
  <si>
    <t>KE YAZHU|DOU JIANWU</t>
  </si>
  <si>
    <t>KE YAZHU</t>
  </si>
  <si>
    <t>2007/07/31</t>
  </si>
  <si>
    <t>H04W 74/00</t>
  </si>
  <si>
    <t>13/846,674</t>
  </si>
  <si>
    <t>Transmitting indication of access point loading</t>
  </si>
  <si>
    <t>Zhou; Yan|Tinnakornsrisuphap; Peerapol</t>
  </si>
  <si>
    <t>2012/03/19</t>
  </si>
  <si>
    <t>2013/03/18</t>
  </si>
  <si>
    <t>US2013/033026</t>
  </si>
  <si>
    <t>Initiating access terminal communication based on access point loading</t>
  </si>
  <si>
    <t>ZHOU,Yan|TINNAKORNSRISUPHAP,Peerapol</t>
  </si>
  <si>
    <t>ZHOU,Yan</t>
  </si>
  <si>
    <t>2013/03/19</t>
  </si>
  <si>
    <t>2013/09/26</t>
  </si>
  <si>
    <t>WO2013US33026</t>
  </si>
  <si>
    <t>INITIATING ACCESS TERMINAL COMMUNICATION BASED ON ACCESS POINT LOADING</t>
  </si>
  <si>
    <t>ZHOU YAN|TINNAKORNSRISUPHAP PEERAPOL</t>
  </si>
  <si>
    <t>ZHOU YAN</t>
  </si>
  <si>
    <t>EP20070816394</t>
  </si>
  <si>
    <t>The handoff access method and device based on the random access channel</t>
  </si>
  <si>
    <t>DU ZHONGDA</t>
  </si>
  <si>
    <t>2006/09/29</t>
  </si>
  <si>
    <t>2007/09/20</t>
  </si>
  <si>
    <t>1.1</t>
  </si>
  <si>
    <t>13/167,582</t>
  </si>
  <si>
    <t>System, apparatus, and method for utilizing network access parameters in wireless communication systems</t>
  </si>
  <si>
    <t>Tenny; Nathan Edward</t>
  </si>
  <si>
    <t>2010/06/25</t>
  </si>
  <si>
    <t>2011/06/23</t>
  </si>
  <si>
    <t>US2011/041836</t>
  </si>
  <si>
    <t>高通|TENNY,Nathan,Edward</t>
  </si>
  <si>
    <t>高通|tenny nathan edward</t>
  </si>
  <si>
    <t>TENNY,Nathan,Edward</t>
  </si>
  <si>
    <t>2011/06/24</t>
  </si>
  <si>
    <t>CN201180040731.3</t>
  </si>
  <si>
    <t>用于在无线通信系统中利用网络接入参数的系统、装置和方法</t>
  </si>
  <si>
    <t>N·E·特尼</t>
  </si>
  <si>
    <t>EP20050772890</t>
  </si>
  <si>
    <t>A method for encapsulating and decapsulating the group signaling in the cdma based group system</t>
  </si>
  <si>
    <t>HUANG CHI|ZHAN BEI|DING MENGJIAO|LIU JINLONG</t>
  </si>
  <si>
    <t>2005/07/26</t>
  </si>
  <si>
    <t>2008/04/16</t>
  </si>
  <si>
    <t>H04W88/10</t>
  </si>
  <si>
    <t>0.24</t>
  </si>
  <si>
    <t>12/212,490</t>
  </si>
  <si>
    <t>Selective review of bundled messages from a wireless communication device</t>
  </si>
  <si>
    <t>Song; Bongyong</t>
  </si>
  <si>
    <t>2007/09/24</t>
  </si>
  <si>
    <t>2013/06/04</t>
  </si>
  <si>
    <t>H04L12/1886</t>
  </si>
  <si>
    <t>13/737,789</t>
  </si>
  <si>
    <t>2013/01/09</t>
  </si>
  <si>
    <t>H04W4/08</t>
  </si>
  <si>
    <t>US2008/077002</t>
  </si>
  <si>
    <t>Selective review of bundled messages sent from a wireless communication device</t>
  </si>
  <si>
    <t>高通|SONG,Bongyong|PONNUSAMY,Kruthika|GILL,Harleen|SANTHANAM,Arvind</t>
  </si>
  <si>
    <t>高通|song bongyong|ponnusamy kruthika|gill harleen|santhanam arvind</t>
  </si>
  <si>
    <t>SONG,Bongyong|PONNUSAMY,Kruthika|GILL,Harleen|SANTHANAM,Arvind</t>
  </si>
  <si>
    <t>SONG,Bongyong</t>
  </si>
  <si>
    <t>2009/04/02</t>
  </si>
  <si>
    <t>EP20050824066</t>
  </si>
  <si>
    <t>A method and equipment for realizing smart antenna in wcdma system</t>
  </si>
  <si>
    <t>WANG YANWEN|ZHANG LI|CHEN DONGLI</t>
  </si>
  <si>
    <t>WANG YANWEN</t>
  </si>
  <si>
    <t>2005/03/02</t>
  </si>
  <si>
    <t>2005/12/29</t>
  </si>
  <si>
    <t>2007/11/21</t>
  </si>
  <si>
    <t>H04B  1/7105</t>
  </si>
  <si>
    <t>H04B1/7105</t>
  </si>
  <si>
    <t>12/124,955</t>
  </si>
  <si>
    <t>Methods and systems for hybrid MIMO schemes in OFDM/A systems</t>
  </si>
  <si>
    <t>Kim; Je Woo|Park; Jong Hyeon|Chang; Tae Ryun|Park; Ju Won</t>
  </si>
  <si>
    <t>Kim; Je Woo</t>
  </si>
  <si>
    <t>2008/05/21</t>
  </si>
  <si>
    <t>H04B7/0617</t>
  </si>
  <si>
    <t>US2009/043651</t>
  </si>
  <si>
    <t>Methods and systems for hybrid mimo schemes in ofdm/a systems</t>
  </si>
  <si>
    <t>高通|KIM,Je,Woo|PARK,Jong,Hyeon|CHANG,Tae,Ryun|PARK,Ju,Won</t>
  </si>
  <si>
    <t>高通|kim je woo|park jong hyeon|chang tae ryun|park ju won</t>
  </si>
  <si>
    <t>KIM,Je,Woo|PARK,Jong,Hyeon|CHANG,Tae,Ryun|PARK,Ju,Won</t>
  </si>
  <si>
    <t>KIM,Je,Woo</t>
  </si>
  <si>
    <t>2009/05/12</t>
  </si>
  <si>
    <t>2009/11/26</t>
  </si>
  <si>
    <t>RU20100152234</t>
  </si>
  <si>
    <t>METHODS AND SYSTEMS FOR HYBRID MIMO SCHEMES IN OFDM/A SYSTEMS</t>
  </si>
  <si>
    <t>KIM DZE VOO [US]|PARK DZONG KHIEON [US]|CHANG TAE RIUN [US]|PARK DZU VON [US]</t>
  </si>
  <si>
    <t>KIM DZE VOO [US]</t>
  </si>
  <si>
    <t>2012/12/20</t>
  </si>
  <si>
    <t>EP20030770869</t>
  </si>
  <si>
    <t>Method for managing uplink scrambling codes in wcdma</t>
  </si>
  <si>
    <t>DOU JIANWU|SHI RONG ZTE|KE YAZHU ZTE</t>
  </si>
  <si>
    <t>DOU JIANWU</t>
  </si>
  <si>
    <t>2003/05/20</t>
  </si>
  <si>
    <t>2006/02/15</t>
  </si>
  <si>
    <t>H04J13/16</t>
  </si>
  <si>
    <t>0.47</t>
  </si>
  <si>
    <t>11/845,737</t>
  </si>
  <si>
    <t>CDMA wireless communication systems</t>
  </si>
  <si>
    <t>Gorokhov; Alexei|Khandekar; Aamod</t>
  </si>
  <si>
    <t>2006/08/25</t>
  </si>
  <si>
    <t>2007/08/27</t>
  </si>
  <si>
    <t>H04J13/00</t>
  </si>
  <si>
    <t>1.15</t>
  </si>
  <si>
    <t>14/157,998</t>
  </si>
  <si>
    <t>2014/01/17</t>
  </si>
  <si>
    <t>H04J13/0003</t>
  </si>
  <si>
    <t>US2007/076929</t>
  </si>
  <si>
    <t>Cdma wireless communication systems</t>
  </si>
  <si>
    <t>高通|KHANDEKAR,Aamod|GOROKHOV,Alexei</t>
  </si>
  <si>
    <t>高通|khandekar aamod|gorokhov alexei</t>
  </si>
  <si>
    <t>KHANDEKAR,Aamod|GOROKHOV,Alexei</t>
  </si>
  <si>
    <t>2008/02/28</t>
  </si>
  <si>
    <t>CN201110281956.X</t>
  </si>
  <si>
    <t>数据传输方法及装置、数据处理方法及装置</t>
  </si>
  <si>
    <t>刘锟|鲁照华|宁迪浩|郁光辉</t>
  </si>
  <si>
    <t>刘锟</t>
  </si>
  <si>
    <t>2011/09/21</t>
  </si>
  <si>
    <t>2012/01/25</t>
  </si>
  <si>
    <t>13/705,768</t>
  </si>
  <si>
    <t>Apparatus and methods for block acknowledgment compression</t>
  </si>
  <si>
    <t>Asterjadhi; Alfred|Merlin; Simone|Wentink; Maarten Menzo|Abraham; Santosh Paul|Quan; Zhi</t>
  </si>
  <si>
    <t>Asterjadhi; Alfred</t>
  </si>
  <si>
    <t>13/691,056</t>
  </si>
  <si>
    <t>Systems and methods for generating and decoding short control frames in wireless communications</t>
  </si>
  <si>
    <t>Merlin; Simone|Abraham; Santosh Paul|Wentink; Maarten Menzo|Quan; Zhi|Asterjadhi; Alfred</t>
  </si>
  <si>
    <t>2016/06/07</t>
  </si>
  <si>
    <t>13/693,436</t>
  </si>
  <si>
    <t>2012/12/04</t>
  </si>
  <si>
    <t>CN201010003432.X</t>
  </si>
  <si>
    <t>一种多载波系统中物理上行控制信道资源的确定方法</t>
  </si>
  <si>
    <t>梁春丽|夏树强|戴博|喻斌</t>
  </si>
  <si>
    <t>梁春丽</t>
  </si>
  <si>
    <t>2010/01/15</t>
  </si>
  <si>
    <t>9.48</t>
  </si>
  <si>
    <t>CN200910162634.6</t>
  </si>
  <si>
    <t>一种确定小区参考信号位置的方法及装置</t>
  </si>
  <si>
    <t>戴  博|郁光辉|张峻峰</t>
  </si>
  <si>
    <t>2009/08/14</t>
  </si>
  <si>
    <t>2010/01/27</t>
  </si>
  <si>
    <t>75.26</t>
  </si>
  <si>
    <t>13/149,766</t>
  </si>
  <si>
    <t>Reference signal patterns</t>
  </si>
  <si>
    <t>Bhattad; Kapil|Chen; Wanshi|Montojo; Juan|Gaal; Peter|Damnjanovic; Aleksandar</t>
  </si>
  <si>
    <t>Bhattad; Kapil</t>
  </si>
  <si>
    <t>2011/05/31</t>
  </si>
  <si>
    <t>13/100,215</t>
  </si>
  <si>
    <t>Methods and apparatuses for using channel state information reference signals</t>
  </si>
  <si>
    <t>Gaal; Peter|Montojo; Juan|Bhattad; Kapil</t>
  </si>
  <si>
    <t>2010/05/04</t>
  </si>
  <si>
    <t>2011/05/03</t>
  </si>
  <si>
    <t>CN201180022161.5</t>
  </si>
  <si>
    <t>使用信道状态信息参考信号的方法和装置</t>
  </si>
  <si>
    <t>P·加尔|J·蒙托霍|K·巴塔德</t>
  </si>
  <si>
    <t>2016/08/17</t>
  </si>
  <si>
    <t>CN200910150441.9</t>
  </si>
  <si>
    <t>在无线通信系统中使用认证序列</t>
  </si>
  <si>
    <t>中兴通讯美国公司</t>
  </si>
  <si>
    <t>方永刚|张文峰|拉杰什·巴拉|赵孝武</t>
  </si>
  <si>
    <t>方永刚</t>
  </si>
  <si>
    <t>2010/01/13</t>
  </si>
  <si>
    <t>CN200810126114.5</t>
  </si>
  <si>
    <t>并串转换器及其实现方法</t>
  </si>
  <si>
    <t>张学海|易律凡|丁学伟</t>
  </si>
  <si>
    <t>张学海</t>
  </si>
  <si>
    <t>2008/06/26</t>
  </si>
  <si>
    <t>H03M  9/00</t>
  </si>
  <si>
    <t>2.59</t>
  </si>
  <si>
    <t>14/382,279</t>
  </si>
  <si>
    <t>Configurable multi-mode media independent interface</t>
  </si>
  <si>
    <t>Yu; Hongchun</t>
  </si>
  <si>
    <t>2012/03/23</t>
  </si>
  <si>
    <t>H03M9/00</t>
  </si>
  <si>
    <t>14/380,325</t>
  </si>
  <si>
    <t>Multi-port serial media independent interface</t>
  </si>
  <si>
    <t>H04J  3/04</t>
  </si>
  <si>
    <t>H04J3/047</t>
  </si>
  <si>
    <t>CN2012/072898</t>
  </si>
  <si>
    <t>高通|YU,Hongchun</t>
  </si>
  <si>
    <t>高通|yu hongchun</t>
  </si>
  <si>
    <t>YU,Hongchun</t>
  </si>
  <si>
    <t>CN200910139468.8</t>
  </si>
  <si>
    <t>反馈状态的发送方法及终端</t>
  </si>
  <si>
    <t>梁春丽|夏树强|左志松</t>
  </si>
  <si>
    <t>2009/06/18</t>
  </si>
  <si>
    <t>2009/12/02</t>
  </si>
  <si>
    <t>6.90</t>
  </si>
  <si>
    <t>CN200910077582.2</t>
  </si>
  <si>
    <t>一种发送上行HARQ反馈信息的方法和装置</t>
  </si>
  <si>
    <t>李卫军|戴  博|郁光辉|陈艺戬</t>
  </si>
  <si>
    <t>2009/01/23</t>
  </si>
  <si>
    <t>63.38</t>
  </si>
  <si>
    <t>12/976,818</t>
  </si>
  <si>
    <t>Fallback operation for cross-carrier signaling in multi-carrier operation</t>
  </si>
  <si>
    <t>Chen; Wanshi|Damnjanovic; Jelena M.|Gaal; Peter|Montojo; Juan|Damnjanovic; Aleksandar</t>
  </si>
  <si>
    <t>2010/12/22</t>
  </si>
  <si>
    <t>CN201080039735.5</t>
  </si>
  <si>
    <t>多载波指示和下行链路控制信息交互</t>
  </si>
  <si>
    <t>W·陈|罗涛|A·D·汉德卡尔|J·蒙托霍|P·加尔|J·M·达姆尼亚诺维奇</t>
  </si>
  <si>
    <t>2015/09/09</t>
  </si>
  <si>
    <t>CN200810182307.2</t>
  </si>
  <si>
    <t>一种上行控制信息的传输方法及传输参数的计算方法</t>
  </si>
  <si>
    <t>许  进|戴  博|徐  俊|郁光辉|左志松</t>
  </si>
  <si>
    <t>许  进</t>
  </si>
  <si>
    <t>2008/11/16</t>
  </si>
  <si>
    <t>2009/04/15</t>
  </si>
  <si>
    <t>H04W 28/04</t>
  </si>
  <si>
    <t>24.26</t>
  </si>
  <si>
    <t>13/099,210</t>
  </si>
  <si>
    <t>Method and apparatus for control and data multiplexing in wireless communication</t>
  </si>
  <si>
    <t>Luo; Xiliang|Luo; Tao|Xu; Hao|Chen; Wanshi|Zhang; Xiaoxia|Gaal; Peter|Montojo; Juan</t>
  </si>
  <si>
    <t>Luo; Xiliang</t>
  </si>
  <si>
    <t>2010/05/03</t>
  </si>
  <si>
    <t>2011/05/02</t>
  </si>
  <si>
    <t>2015/08/04</t>
  </si>
  <si>
    <t>CN201080017624.4</t>
  </si>
  <si>
    <t>用于MIMO操作的秩指示和预编码指示</t>
  </si>
  <si>
    <t>P·加尔|张晓霞|W·陈|X·罗|J·蒙托霍</t>
  </si>
  <si>
    <t>2009/04/23</t>
  </si>
  <si>
    <t>CN201180022233.6</t>
  </si>
  <si>
    <t>用于无线通信中的控制和数据复用的方法和装置</t>
  </si>
  <si>
    <t>X·罗|罗涛|徐浩|W·陈|张晓霞|P·加尔|J·蒙托霍</t>
  </si>
  <si>
    <t>X·罗</t>
  </si>
  <si>
    <t>CN200710086799.0</t>
  </si>
  <si>
    <t>时分双工模式数字预失真功放装置</t>
  </si>
  <si>
    <t>张  峰</t>
  </si>
  <si>
    <t>2007/03/20</t>
  </si>
  <si>
    <t>2008/09/24</t>
  </si>
  <si>
    <t>H04B  1/62</t>
  </si>
  <si>
    <t>H04B1/30</t>
  </si>
  <si>
    <t>2.31</t>
  </si>
  <si>
    <t>12/827,952</t>
  </si>
  <si>
    <t>Predistortion of complex modulated waveform</t>
  </si>
  <si>
    <t>Coan; Philip David|Draxler; Paul J.</t>
  </si>
  <si>
    <t>Coan; Philip David</t>
  </si>
  <si>
    <t>H04L 25/49</t>
  </si>
  <si>
    <t>H03F</t>
  </si>
  <si>
    <t>H03F1/3247</t>
  </si>
  <si>
    <t>13/364,065</t>
  </si>
  <si>
    <t>Shared feedback for adaptive transmitter pre-distortion</t>
  </si>
  <si>
    <t>Coan; Philip D.|Draxler; Paul J.|Rimini; Roberto|Marra; Thomas D.|Sahota; Gurkanwal Singh|Ciccarelli; Steven C.|Patel; Shrenik</t>
  </si>
  <si>
    <t>Coan; Philip D.</t>
  </si>
  <si>
    <t>2011/10/14</t>
  </si>
  <si>
    <t>US2012/060306</t>
  </si>
  <si>
    <t>Adaptive transmitter pre-distortion reusing existing receiver for feedback</t>
  </si>
  <si>
    <t>COAN PHILIP D|DRAXLER PAUL J|RIMINI ROBERTO|MARRA THOMAS D|SAHOTA GURKANWAL SINGH|CICCARELLI STEVEN C|PATEL SHRENIK</t>
  </si>
  <si>
    <t>COAN PHILIP D</t>
  </si>
  <si>
    <t>2012/10/15</t>
  </si>
  <si>
    <t>2013/04/18</t>
  </si>
  <si>
    <t>CN200810007801.5</t>
  </si>
  <si>
    <t>用于UE从UTRAN切换到EUTRAN的密钥生成方法和系统</t>
  </si>
  <si>
    <t>王  进|甘  露</t>
  </si>
  <si>
    <t>王  进</t>
  </si>
  <si>
    <t>2008/02/04</t>
  </si>
  <si>
    <t>H04Q7/38S</t>
  </si>
  <si>
    <t>23.85</t>
  </si>
  <si>
    <t>12/047,829</t>
  </si>
  <si>
    <t>Methods and apparatus for using multiple connection identifiers based on traffic requirements</t>
  </si>
  <si>
    <t>Li; Junyi|Laroia; Rajiv|Tavildar; Saurabh|Wu; Xinzhou</t>
  </si>
  <si>
    <t>2008/03/13</t>
  </si>
  <si>
    <t>2013/09/03</t>
  </si>
  <si>
    <t>H04W72/1242</t>
  </si>
  <si>
    <t>12/047,741</t>
  </si>
  <si>
    <t>Methods and apparatus for acquiring and using multiple connection identifiers</t>
  </si>
  <si>
    <t>CN200980108645.4</t>
  </si>
  <si>
    <t>在不同时间使用具有不同优先级的连接标识符的方法和装置</t>
  </si>
  <si>
    <t>厉隽怿|R·拉罗亚|S·塔维尔达|X·吴</t>
  </si>
  <si>
    <t>厉隽怿</t>
  </si>
  <si>
    <t>2009/02/25</t>
  </si>
  <si>
    <t>H04W 72/10</t>
  </si>
  <si>
    <t>CN200610138545.4</t>
  </si>
  <si>
    <t>下行功率控制方法和系统</t>
  </si>
  <si>
    <t>马毅华|江  海</t>
  </si>
  <si>
    <t>马毅华</t>
  </si>
  <si>
    <t>2008/05/14</t>
  </si>
  <si>
    <t>H04B7/005B2Q</t>
  </si>
  <si>
    <t>12/352,733</t>
  </si>
  <si>
    <t>Power control for wireless LAN stations</t>
  </si>
  <si>
    <t>Sampath; Hemanth|van Nee; Richard|Abraham; Santosh|Aggarwal; Alok</t>
  </si>
  <si>
    <t>2008/08/20</t>
  </si>
  <si>
    <t>14/690,656</t>
  </si>
  <si>
    <t>Sampath; Hemanth|van Nee; Didier Johannes Richard|Abraham; Santosh Paul|Aggarwal; Alok</t>
  </si>
  <si>
    <t>2015/04/20</t>
  </si>
  <si>
    <t>H04W52/241</t>
  </si>
  <si>
    <t>CN200980132261.6</t>
  </si>
  <si>
    <t>无线局域站的功率控制</t>
  </si>
  <si>
    <t>H·桑帕特|D·J·R·范尼|S·P·亚伯拉罕|A·阿加尔瓦</t>
  </si>
  <si>
    <t>H·桑帕特</t>
  </si>
  <si>
    <t>2009/08/16</t>
  </si>
  <si>
    <t>CN200710165804.7</t>
  </si>
  <si>
    <t>数据传输方法</t>
  </si>
  <si>
    <t>梁春丽|夏树强|赫  鹏|戴  博|郁光辉|胡留军</t>
  </si>
  <si>
    <t>2007/10/29</t>
  </si>
  <si>
    <t>2008/04/09</t>
  </si>
  <si>
    <t>H04L  5/26</t>
  </si>
  <si>
    <t>3.26</t>
  </si>
  <si>
    <t>13/888,292</t>
  </si>
  <si>
    <t>Synchronous TDM-based communication in dominant interference scenarios</t>
  </si>
  <si>
    <t>Bhattad; Kapil|Palanki; Ravi</t>
  </si>
  <si>
    <t>2013/05/06</t>
  </si>
  <si>
    <t>13/085,367</t>
  </si>
  <si>
    <t>Measurement of received power and received quality in a wireless communication network</t>
  </si>
  <si>
    <t>Barbieri; Alan|Ji; Tingfang|Damnjanovic; Aleksandar|Gaal; Peter|Luo; Tao</t>
  </si>
  <si>
    <t>2017/03/28</t>
  </si>
  <si>
    <t>CN200980127042.9</t>
  </si>
  <si>
    <t>显著干扰情形下基于TDM的同步通信</t>
  </si>
  <si>
    <t>K·巴塔德|R·保兰基</t>
  </si>
  <si>
    <t>K·巴塔德</t>
  </si>
  <si>
    <t>2014/06/11</t>
  </si>
  <si>
    <t>CN200610115281.0</t>
  </si>
  <si>
    <t>时分码分多址系统高速上行分组接入的码道资源分配方法</t>
  </si>
  <si>
    <t>刘  虎|芮  华|耿  鹏|张银成|陈  慧</t>
  </si>
  <si>
    <t>刘  虎</t>
  </si>
  <si>
    <t>2006/08/20</t>
  </si>
  <si>
    <t>2008/02/27</t>
  </si>
  <si>
    <t>CN200610029569.6</t>
  </si>
  <si>
    <t>微波通信中的多业务传输方法及装置</t>
  </si>
  <si>
    <t>上海中兴通讯技术有限责任公司</t>
  </si>
  <si>
    <t>宋  芹</t>
  </si>
  <si>
    <t>2006/07/31</t>
  </si>
  <si>
    <t>2008/02/06</t>
  </si>
  <si>
    <t>H04B  7/22</t>
  </si>
  <si>
    <t>3.51</t>
  </si>
  <si>
    <t>CN200980108640.1</t>
  </si>
  <si>
    <t>基于业务需求来使用多个连接标识符的方法和装置</t>
  </si>
  <si>
    <t>2015/04/01</t>
  </si>
  <si>
    <t>CN200610144072.9</t>
  </si>
  <si>
    <t>一种差异化安全服务的网络、系统和方法</t>
  </si>
  <si>
    <t>陈剑勇|滕志猛|吴  波</t>
  </si>
  <si>
    <t>陈剑勇</t>
  </si>
  <si>
    <t>2006/11/24</t>
  </si>
  <si>
    <t>2007/12/26</t>
  </si>
  <si>
    <t>H04L29/06C6C2</t>
  </si>
  <si>
    <t>5.56</t>
  </si>
  <si>
    <t>12/549,277</t>
  </si>
  <si>
    <t>Apparatus and method for bundling application services with inbuilt connectivity management</t>
  </si>
  <si>
    <t>Ahmavaara; Kalle I.</t>
  </si>
  <si>
    <t>2008/12/16</t>
  </si>
  <si>
    <t>2009/08/27</t>
  </si>
  <si>
    <t>G06Q 30/00</t>
  </si>
  <si>
    <t>H04L67/14</t>
  </si>
  <si>
    <t>13/316,539</t>
  </si>
  <si>
    <t>Methods and apparatus for providing or receiving data connectivity</t>
  </si>
  <si>
    <t>Ahmavaara; Kalle|Kadakia; Jatinkumar Chandrakant|Warlick; Michael Vernon</t>
  </si>
  <si>
    <t>Ahmavaara; Kalle</t>
  </si>
  <si>
    <t>2010/12/20</t>
  </si>
  <si>
    <t>2011/12/11</t>
  </si>
  <si>
    <t>CN200980155892.X</t>
  </si>
  <si>
    <t>有助于至接入网络的连接的系统和方法</t>
  </si>
  <si>
    <t>K·阿赫马瓦拉|R·C·格伦斯|G·齐尔特西斯|P·汉德|G·贾雷塔|A·C·马亨德兰</t>
  </si>
  <si>
    <t>K·阿赫马瓦拉</t>
  </si>
  <si>
    <t>2009/12/11</t>
  </si>
  <si>
    <t>CN200710111559.1</t>
  </si>
  <si>
    <t>具有多路分集天线的移动终端</t>
  </si>
  <si>
    <t>王彦丰</t>
  </si>
  <si>
    <t>2007/03/01</t>
  </si>
  <si>
    <t>2007/11/14</t>
  </si>
  <si>
    <t>H04B7/10</t>
  </si>
  <si>
    <t>2.70</t>
  </si>
  <si>
    <t>12/962,513</t>
  </si>
  <si>
    <t>Combined intelligent receive diversity (IRD) and mobile transmit diversity (MTD) with independent antenna switching for uplink and downlink</t>
  </si>
  <si>
    <t>Komninakis; Christos|Filipovic; Daniel F.|Zhang; Chengjin</t>
  </si>
  <si>
    <t>Komninakis; Christos</t>
  </si>
  <si>
    <t>2009/12/08</t>
  </si>
  <si>
    <t>2010/12/07</t>
  </si>
  <si>
    <t>H04B  1/44</t>
  </si>
  <si>
    <t>H04B7/0691</t>
  </si>
  <si>
    <t>14/310,510</t>
  </si>
  <si>
    <t>2014/06/20</t>
  </si>
  <si>
    <t>CN201080056312.4</t>
  </si>
  <si>
    <t>对上行链路和下行链路进行独立天线切换的组合智能接收分集(IRD)与移动发射分集(MTD)</t>
  </si>
  <si>
    <t>C·科闵纳凯斯|D·F·菲利波维奇|C·张</t>
  </si>
  <si>
    <t>C·科闵纳凯斯</t>
  </si>
  <si>
    <t>2010/12/08</t>
  </si>
  <si>
    <t>2015/01/21</t>
  </si>
  <si>
    <t>CN200610033408.4</t>
  </si>
  <si>
    <t>一种无线通信设备的越区切换方法</t>
  </si>
  <si>
    <t>张玉杰</t>
  </si>
  <si>
    <t>2006/01/25</t>
  </si>
  <si>
    <t>12/239,502</t>
  </si>
  <si>
    <t>Mobile access in a diverse access point network</t>
  </si>
  <si>
    <t>Gholmieh; Aziz|Grilli; Francesco|Tenny; Nathan E.|Zreiq; Samer S.|Nizri; Shlomo</t>
  </si>
  <si>
    <t>Gholmieh; Aziz</t>
  </si>
  <si>
    <t>2007/10/01</t>
  </si>
  <si>
    <t>2008/09/26</t>
  </si>
  <si>
    <t>2013/11/19</t>
  </si>
  <si>
    <t>3.17</t>
  </si>
  <si>
    <t>14/082,646</t>
  </si>
  <si>
    <t>Gholmieh; Aziz|Grilli; Francesco|Tenny; Nathan Edward|Zreiq; Samer S.|Nizri; Shlomo</t>
  </si>
  <si>
    <t>2013/11/18</t>
  </si>
  <si>
    <t>H04W 48/14</t>
  </si>
  <si>
    <t>CN200880118764.3</t>
  </si>
  <si>
    <t>不同接入点网络中的移动接入</t>
  </si>
  <si>
    <t>A·戈尔米|F·格里利|N·E·坦尼|S·S·兹雷伊克|S·尼兹里</t>
  </si>
  <si>
    <t>A·戈尔米</t>
  </si>
  <si>
    <t>2008/09/29</t>
  </si>
  <si>
    <t>2015/04/22</t>
  </si>
  <si>
    <t>H04W 48/02</t>
  </si>
  <si>
    <t>CN200610001780.7</t>
  </si>
  <si>
    <t>一种保护互联网协议语音技术网关媒体通道的方法</t>
  </si>
  <si>
    <t>郭  辉|吕  鑫</t>
  </si>
  <si>
    <t>郭  辉</t>
  </si>
  <si>
    <t>H04L29/06C2</t>
  </si>
  <si>
    <t>12/750,218</t>
  </si>
  <si>
    <t>High-priority communications sessions within a wireless communications system</t>
  </si>
  <si>
    <t>Brewer; Beth A.|Bhaskaran; Hamsini|Aggarwal; Ashutosh</t>
  </si>
  <si>
    <t>Brewer; Beth A.</t>
  </si>
  <si>
    <t>2009/04/06</t>
  </si>
  <si>
    <t>H04W4/10</t>
  </si>
  <si>
    <t>13/791,167</t>
  </si>
  <si>
    <t>Prioritization of group communications at a wireless communication device</t>
  </si>
  <si>
    <t>Aggarwal; Ashutosh|Brewer; Beth A.</t>
  </si>
  <si>
    <t>Aggarwal; Ashutosh</t>
  </si>
  <si>
    <t>2013/03/08</t>
  </si>
  <si>
    <t>14/161,869</t>
  </si>
  <si>
    <t>Brewer; Beth Ann|Aggarwal; Ashutosh</t>
  </si>
  <si>
    <t>Brewer; Beth Ann</t>
  </si>
  <si>
    <t>2014/01/23</t>
  </si>
  <si>
    <t>CN200510126112.2</t>
  </si>
  <si>
    <t>数字集群通信系统中实现定位的方法</t>
  </si>
  <si>
    <t>耿兆森|王伟权|詹亚军|李  铁|任  岗</t>
  </si>
  <si>
    <t>耿兆森</t>
  </si>
  <si>
    <t>2005/11/30</t>
  </si>
  <si>
    <t>H04Q  7/28</t>
  </si>
  <si>
    <t>H04Q7/22S</t>
  </si>
  <si>
    <t>5.69</t>
  </si>
  <si>
    <t>13/015,531</t>
  </si>
  <si>
    <t>Mobile station positioning assistance with local mapping data</t>
  </si>
  <si>
    <t>Tenny; Nathan E.|Gupta; Rajarshi</t>
  </si>
  <si>
    <t>Tenny; Nathan E.</t>
  </si>
  <si>
    <t>2010/02/01</t>
  </si>
  <si>
    <t>2011/01/27</t>
  </si>
  <si>
    <t>14/812,440</t>
  </si>
  <si>
    <t>Tenny; Nathan|Gupta; Rajarshi</t>
  </si>
  <si>
    <t>Tenny; Nathan</t>
  </si>
  <si>
    <t>CN201180007826.5</t>
  </si>
  <si>
    <t>具有局部地图绘制数据的移动站定位辅助</t>
  </si>
  <si>
    <t>N·E·特尼|R·古普塔</t>
  </si>
  <si>
    <t>2011/01/31</t>
  </si>
  <si>
    <t>2016/08/03</t>
  </si>
  <si>
    <t>CN200510101172.9</t>
  </si>
  <si>
    <t>一种无线蜂窝通信系统中的业务切换方法</t>
  </si>
  <si>
    <t>2005/11/05</t>
  </si>
  <si>
    <t>2007/05/09</t>
  </si>
  <si>
    <t>3.4</t>
  </si>
  <si>
    <t>12/191,221</t>
  </si>
  <si>
    <t>Optimizing in-order delivery of data packets during wireless communication handover</t>
  </si>
  <si>
    <t>2007/08/13</t>
  </si>
  <si>
    <t>2008/08/13</t>
  </si>
  <si>
    <t>H04L1/1841</t>
  </si>
  <si>
    <t>14/283,813</t>
  </si>
  <si>
    <t>2014/05/21</t>
  </si>
  <si>
    <t>H04W 36/02</t>
  </si>
  <si>
    <t>H04W36/023</t>
  </si>
  <si>
    <t>CN200880102834.6</t>
  </si>
  <si>
    <t>优化无线通信切换过程中数据分组的按顺序传送的方法和装置</t>
  </si>
  <si>
    <t>CN200510090082.4</t>
  </si>
  <si>
    <t>无线局域网的负载均衡方法</t>
  </si>
  <si>
    <t>王彬|李峰|李杰|邰春玲</t>
  </si>
  <si>
    <t>王彬</t>
  </si>
  <si>
    <t>2005/08/12</t>
  </si>
  <si>
    <t>2007/02/14</t>
  </si>
  <si>
    <t>H04L12/28W</t>
  </si>
  <si>
    <t>12/049,088</t>
  </si>
  <si>
    <t>Methods and apparatus for making handoff decisions in access terminals capable of operating at different times in best effort and QoS modes of traffic operation</t>
  </si>
  <si>
    <t>Patil; Shailesh|Hande; Prashanth|Myung; Hyung</t>
  </si>
  <si>
    <t>Patil; Shailesh</t>
  </si>
  <si>
    <t>2007/12/13</t>
  </si>
  <si>
    <t>2013/05/14</t>
  </si>
  <si>
    <t>H04W36/26</t>
  </si>
  <si>
    <t>0.76</t>
  </si>
  <si>
    <t>13/886,358</t>
  </si>
  <si>
    <t>Patil; Shailesh|Hande; Prashanth|Myung; Hyung G.</t>
  </si>
  <si>
    <t>2013/05/03</t>
  </si>
  <si>
    <t>H04W 36/16</t>
  </si>
  <si>
    <t>H04W36/165</t>
  </si>
  <si>
    <t>CN200880120272.8</t>
  </si>
  <si>
    <t>用于在能够于不同时间在尽力服务和QOS业务操作模式下操作的接入终端中作出切换决定的方法和装置</t>
  </si>
  <si>
    <t>S·帕蒂尔|P·汉德|H·明</t>
  </si>
  <si>
    <t>S·帕蒂尔</t>
  </si>
  <si>
    <t>2008/12/12</t>
  </si>
  <si>
    <t>2014/04/16</t>
  </si>
  <si>
    <t>H04W 36/26</t>
  </si>
  <si>
    <t>CN200510041385.7</t>
  </si>
  <si>
    <t>一种WCDMA系统中的紧急呼叫处理方法</t>
  </si>
  <si>
    <t>黄明</t>
  </si>
  <si>
    <t>2005/08/03</t>
  </si>
  <si>
    <t>2007/02/07</t>
  </si>
  <si>
    <t>4.2</t>
  </si>
  <si>
    <t>CN200980108641.6</t>
  </si>
  <si>
    <t>用于获得和使用多个连接标识符的方法和装置</t>
  </si>
  <si>
    <t>2014/12/24</t>
  </si>
  <si>
    <t>H04L 12/00</t>
  </si>
  <si>
    <t>CN200410096157.5</t>
  </si>
  <si>
    <t>扰码相位偏移中伪掩码寄存器生成方法</t>
  </si>
  <si>
    <t>赵善红</t>
  </si>
  <si>
    <t>2004/11/30</t>
  </si>
  <si>
    <t>2006/06/07</t>
  </si>
  <si>
    <t>H04J 13/04</t>
  </si>
  <si>
    <t>H03M13/15P</t>
  </si>
  <si>
    <t>12/244,678</t>
  </si>
  <si>
    <t>Scrambling sequence generation in a communication system</t>
  </si>
  <si>
    <t>Gaal; Peter|Montojo; Juan</t>
  </si>
  <si>
    <t>2007/10/04</t>
  </si>
  <si>
    <t>H04L  9/00</t>
  </si>
  <si>
    <t>G06F7/584</t>
  </si>
  <si>
    <t>12/410,694</t>
  </si>
  <si>
    <t>Method and apparatus for scrambling sequence generation in a communication system</t>
  </si>
  <si>
    <t>Kim; Byoung-Hoon|Montojo; Juan|Gaal; Peter</t>
  </si>
  <si>
    <t>Kim; Byoung-Hoon</t>
  </si>
  <si>
    <t>2008/03/26</t>
  </si>
  <si>
    <t>2009/03/25</t>
  </si>
  <si>
    <t>H04L25/03866</t>
  </si>
  <si>
    <t>14/500,150</t>
  </si>
  <si>
    <t>2014/09/29</t>
  </si>
  <si>
    <t>H04W72/0466</t>
  </si>
  <si>
    <t>CN200510059665.0</t>
  </si>
  <si>
    <t>一种接力切换的实现方法</t>
  </si>
  <si>
    <t>万建超|郑怀林|周天才</t>
  </si>
  <si>
    <t>万建超</t>
  </si>
  <si>
    <t>2005/03/30</t>
  </si>
  <si>
    <t>2005/09/07</t>
  </si>
  <si>
    <t>17.78</t>
  </si>
  <si>
    <t>13/510,594</t>
  </si>
  <si>
    <t>Method and apparatus for explicit signaling of baton handover in TD-SCDMA systems</t>
  </si>
  <si>
    <t>13/379,621</t>
  </si>
  <si>
    <t>Method and apparatuses for returning the transmission of the uplink to a source cell during a baton handover</t>
  </si>
  <si>
    <t>2010/03/31</t>
  </si>
  <si>
    <t>CN201110072530.3</t>
  </si>
  <si>
    <t>从TDD-LTE系统到TD-SCDMA系统的接力切换</t>
  </si>
  <si>
    <t>金汤|石光明|李国钧</t>
  </si>
  <si>
    <t>金汤</t>
  </si>
  <si>
    <t>2011/02/21</t>
  </si>
  <si>
    <t>2016/06/08</t>
  </si>
  <si>
    <t>CN03130582.2</t>
  </si>
  <si>
    <t>基于媒体网关控制协议的信令代理实现方法</t>
  </si>
  <si>
    <t>乔克智|曹刚|李明栋</t>
  </si>
  <si>
    <t>乔克智</t>
  </si>
  <si>
    <t>2003/08/19</t>
  </si>
  <si>
    <t>2005/02/23</t>
  </si>
  <si>
    <t>H04L29/06C6A</t>
  </si>
  <si>
    <t>6.2</t>
  </si>
  <si>
    <t>12/122,580</t>
  </si>
  <si>
    <t>Providing remote field testing for mobile devices</t>
  </si>
  <si>
    <t>Huq; Rana|Hafiz; Sheikh Ashik</t>
  </si>
  <si>
    <t>Huq; Rana</t>
  </si>
  <si>
    <t>2008/02/19</t>
  </si>
  <si>
    <t>2008/05/16</t>
  </si>
  <si>
    <t>H04L43/50</t>
  </si>
  <si>
    <t>12/122,601</t>
  </si>
  <si>
    <t>Providing network originated push messages for remotely testing a mobile device</t>
  </si>
  <si>
    <t>CN200980110449.0</t>
  </si>
  <si>
    <t>提供对移动装置的远程现场测试</t>
  </si>
  <si>
    <t>拉纳·哈克|谢赫·A·哈菲兹</t>
  </si>
  <si>
    <t>拉纳·哈克</t>
  </si>
  <si>
    <t>2014/03/12</t>
  </si>
  <si>
    <t>H04L 29/12</t>
  </si>
  <si>
    <t>13/258,190</t>
  </si>
  <si>
    <t>Duplex Communication Method, Terminal Scheduling Method and System</t>
  </si>
  <si>
    <t>Diao; Xinxi|Lai; Zhengrong|Zhu; Xiaodong|Ma; Zhifeng|Yang; Guang</t>
  </si>
  <si>
    <t>Diao; Xinxi</t>
  </si>
  <si>
    <t>2009/12/31</t>
  </si>
  <si>
    <t>2010/06/22</t>
  </si>
  <si>
    <t>H04J  4/00</t>
  </si>
  <si>
    <t>13/550,834</t>
  </si>
  <si>
    <t>Enabling half-duplex operation</t>
  </si>
  <si>
    <t>Montojo; Juan|Gaal; Peter|Chen; Wanshi|Xu; Hao|Luo; Tao</t>
  </si>
  <si>
    <t>2012/07/17</t>
  </si>
  <si>
    <t>H04L5/0028</t>
  </si>
  <si>
    <t>14/660,490</t>
  </si>
  <si>
    <t>14/660,438</t>
  </si>
  <si>
    <t>13/474,807</t>
  </si>
  <si>
    <t>Hybrid automatic repeat request method of a downlink tunnel</t>
  </si>
  <si>
    <t>LIU; Yang|QU; Hongyun</t>
  </si>
  <si>
    <t>LIU; Yang</t>
  </si>
  <si>
    <t>2007/11/05</t>
  </si>
  <si>
    <t>2012/05/18</t>
  </si>
  <si>
    <t>2012/09/20</t>
  </si>
  <si>
    <t>13/318,120</t>
  </si>
  <si>
    <t>METHOD AND SYSTEM FOR DYNAMIC ADJUSTMENT OF DOWNLINK/UPLINK ALLOCATION RATIO IN LTE/TDD SYSTEM</t>
  </si>
  <si>
    <t>Zhang; Wenfeng|Duan; Yuhong|Hu; Jian|Ma; Zhifeng|Du; Zhongdang|Yu; Bin</t>
  </si>
  <si>
    <t>2009/04/28</t>
  </si>
  <si>
    <t>2012/05/17</t>
  </si>
  <si>
    <t>5.8</t>
  </si>
  <si>
    <t>13/364,652</t>
  </si>
  <si>
    <t>Short random access channel (RACH) disabling in TDD-LTE</t>
  </si>
  <si>
    <t>13/073,491</t>
  </si>
  <si>
    <t>Heterogeneous network partition in TDD beyond radio frame</t>
  </si>
  <si>
    <t>Zhang; Xiaoxia|Luo; Tao</t>
  </si>
  <si>
    <t>H04W 28/26</t>
  </si>
  <si>
    <t>14/573,180</t>
  </si>
  <si>
    <t>2014/12/17</t>
  </si>
  <si>
    <t>H04L1/1822</t>
  </si>
  <si>
    <t>13/140,416</t>
  </si>
  <si>
    <t>METHOD FOR RESELECTION AMONG HOME BASE STATION CELLS</t>
  </si>
  <si>
    <t>Huang; Yada|Du; Zhongda</t>
  </si>
  <si>
    <t>Huang; Yada</t>
  </si>
  <si>
    <t>2011/10/20</t>
  </si>
  <si>
    <t>13/786,681</t>
  </si>
  <si>
    <t>Methods and apparatuses for determining reselection parameters for detected cells</t>
  </si>
  <si>
    <t>Wang; Fan|Hu; An-Swol C.|Tambaram Kailasam; Sundaresan|Khan; Uzma</t>
  </si>
  <si>
    <t>Wang; Fan</t>
  </si>
  <si>
    <t>2012/08/01</t>
  </si>
  <si>
    <t>2013/03/06</t>
  </si>
  <si>
    <t>13/929,630</t>
  </si>
  <si>
    <t>Network driven cell reselection method for UEs playing eMBMS content in unicast idle mode</t>
  </si>
  <si>
    <t>Gholmieh; Ralph Akram|Naik; Nagaraju|Veerepalli; Sivaramakrishna|Lee; Kuo-Chun|Shauh; Jack S.</t>
  </si>
  <si>
    <t>Gholmieh; Ralph Akram</t>
  </si>
  <si>
    <t>2012/06/27</t>
  </si>
  <si>
    <t>2013/06/27</t>
  </si>
  <si>
    <t>13/686,714</t>
  </si>
  <si>
    <t>Inter radio access technology (IRAT) measurement to improve user equipment (UE) battery performance</t>
  </si>
  <si>
    <t>H04W36/0094</t>
  </si>
  <si>
    <t>13/062,159</t>
  </si>
  <si>
    <t>EMERGENCY SERVICE HANDOVER METHOD</t>
  </si>
  <si>
    <t>You; Shilin|Cai; Jiyan|Hao; Zhenwu|Li; Zhendong|Yu; Zhiming</t>
  </si>
  <si>
    <t>You; Shilin</t>
  </si>
  <si>
    <t>2008/09/05</t>
  </si>
  <si>
    <t>2008/12/18</t>
  </si>
  <si>
    <t>12/793,580</t>
  </si>
  <si>
    <t>Method and apparatus for performing handover of an emergency call between wireless networks</t>
  </si>
  <si>
    <t>Edge; Stephen W.|Mahendran; Arungundram C.</t>
  </si>
  <si>
    <t>H04M 11/04</t>
  </si>
  <si>
    <t>12/702,069</t>
  </si>
  <si>
    <t>Method and apparatus for maintaining location continuity for a UE following handover</t>
  </si>
  <si>
    <t>2009/02/09</t>
  </si>
  <si>
    <t>2010/02/08</t>
  </si>
  <si>
    <t>14/814,262</t>
  </si>
  <si>
    <t>2015/07/30</t>
  </si>
  <si>
    <t>13/054,762</t>
  </si>
  <si>
    <t>METHOD FOR MEASURING ADJACENT AREAS</t>
  </si>
  <si>
    <t>Chen; Liping</t>
  </si>
  <si>
    <t>2008/07/17</t>
  </si>
  <si>
    <t>2009/07/17</t>
  </si>
  <si>
    <t>13/178,374</t>
  </si>
  <si>
    <t>Fast timing acquisition in cell search</t>
  </si>
  <si>
    <t>Fertonani; Dario|Khandekar; Aamod Dinkar|Gummadi; Srikanth|Black; Peter John</t>
  </si>
  <si>
    <t>Fertonani; Dario</t>
  </si>
  <si>
    <t>H04B  1/16</t>
  </si>
  <si>
    <t>13/679,418</t>
  </si>
  <si>
    <t>Inter radio access technology (IRAT) measurement</t>
  </si>
  <si>
    <t>2012/11/16</t>
  </si>
  <si>
    <t>13/804,803</t>
  </si>
  <si>
    <t>Inter-radio access technology (IRAT) handover</t>
  </si>
  <si>
    <t>Chin; Tom|Wang; Yan Ming|Lu; Xiaoning|Lee; Kuo-Chun</t>
  </si>
  <si>
    <t>12/986,122</t>
  </si>
  <si>
    <t>FLEXIBLE OFDM/OFDMA FRAME STRUCTURE FOR COMMUNICATION SYSTEMS</t>
  </si>
  <si>
    <t>Cai; Sean|Chow; Jerry|Qu; Hongyun|Fang; Huiying</t>
  </si>
  <si>
    <t>3.41</t>
  </si>
  <si>
    <t>13/457,360</t>
  </si>
  <si>
    <t>Reverse link throughput management for flexible bandwidth systems</t>
  </si>
  <si>
    <t>Dural; Ozgur|Das; Soumya|Park; Edwin C.</t>
  </si>
  <si>
    <t>Dural; Ozgur</t>
  </si>
  <si>
    <t>H04L1/0006</t>
  </si>
  <si>
    <t>14/573,562</t>
  </si>
  <si>
    <t>LTE hierarchical burst mode</t>
  </si>
  <si>
    <t>Malladi; Durga Prasad|Wei; Yongbin</t>
  </si>
  <si>
    <t>14/573,577</t>
  </si>
  <si>
    <t>12/603,462</t>
  </si>
  <si>
    <t>Internetworking Techniques for Transferring Packets Between Source and Target Serving Gateways</t>
  </si>
  <si>
    <t>Bhalla; Rajesh|Fang; Yonggang</t>
  </si>
  <si>
    <t>2009/06/19</t>
  </si>
  <si>
    <t>2009/10/21</t>
  </si>
  <si>
    <t>1.93</t>
  </si>
  <si>
    <t>13/297,208</t>
  </si>
  <si>
    <t>Systems and methods for non-optimized handoff</t>
  </si>
  <si>
    <t>Wang; Jun|Cherian; George|Zhu; Xipeng|Balasubramanian; Srinivasan|Palanigounder; Anand</t>
  </si>
  <si>
    <t>2010/11/16</t>
  </si>
  <si>
    <t>2011/11/15</t>
  </si>
  <si>
    <t>H04W36/0033</t>
  </si>
  <si>
    <t>13/297,196</t>
  </si>
  <si>
    <t>Wang; Jun|Cherian; George|Zhu; Xipeng|Balasubramanian; Srinivasan|Palanigounder; Anand|Payyappilly; Ajith Tom</t>
  </si>
  <si>
    <t>2015/01/06</t>
  </si>
  <si>
    <t>US2011/043919</t>
  </si>
  <si>
    <t>Apparatus and method for enforcement of multiple packet data network (pdn) connections to the same access point name (apn)</t>
  </si>
  <si>
    <t>高通|GIARETTA,Gerardo</t>
  </si>
  <si>
    <t>高通|giaretta gerardo</t>
  </si>
  <si>
    <t>GIARETTA,Gerardo</t>
  </si>
  <si>
    <t>2011/07/13</t>
  </si>
  <si>
    <t>12/604,330</t>
  </si>
  <si>
    <t>Reverse Link Acknowledgment Signaling</t>
  </si>
  <si>
    <t>Fang; Yonggang|Xin; Yu|Zhao; Xiaowu</t>
  </si>
  <si>
    <t>2009/10/22</t>
  </si>
  <si>
    <t>1.16</t>
  </si>
  <si>
    <t>13/527,279</t>
  </si>
  <si>
    <t>Methods and systems for mobile wimax three-way downlink concurrent processing and three-way handover</t>
  </si>
  <si>
    <t>Chin; Tom|Lee; Kuo-Chun</t>
  </si>
  <si>
    <t>2008/05/19</t>
  </si>
  <si>
    <t>13/046,220</t>
  </si>
  <si>
    <t>Method and apparatus for enhancing high data rate uplink operations</t>
  </si>
  <si>
    <t>Hou; Jilei|Cui; Shengshan|Zhang; Danlu|Mohanty; Bibhu Prasad</t>
  </si>
  <si>
    <t>Hou; Jilei</t>
  </si>
  <si>
    <t>2010/03/15</t>
  </si>
  <si>
    <t>2011/03/11</t>
  </si>
  <si>
    <t>2014/10/21</t>
  </si>
  <si>
    <t>H04W52/267</t>
  </si>
  <si>
    <t>13/448,638</t>
  </si>
  <si>
    <t>Methods and apparatus to improve channel estimation in communication systems</t>
  </si>
  <si>
    <t>Subramanian; Sundar|Wu; Xinzhou|Geng; Quan|Measson; Cyril|Richardson; Thomas J.|Li; Junyi</t>
  </si>
  <si>
    <t>Subramanian; Sundar</t>
  </si>
  <si>
    <t>2012/04/17</t>
  </si>
  <si>
    <t>11/792650</t>
  </si>
  <si>
    <t>Pilot Allocation Method and Device of Orthogonal Frequency Division Multiplexing System</t>
  </si>
  <si>
    <t>Xia; Shuqiang|Lin; Jiashi|Zhang; Peng|Yu; Guanghui</t>
  </si>
  <si>
    <t>Xia; Shuqiang</t>
  </si>
  <si>
    <t>2004/12/09</t>
  </si>
  <si>
    <t>2005/06/02</t>
  </si>
  <si>
    <t>11/691,243</t>
  </si>
  <si>
    <t>Pilot design for improved channel and interference estimation</t>
  </si>
  <si>
    <t>Budianu; Petru Cristian|Gore; Dhananjay A.|Gorokhov; Alexei</t>
  </si>
  <si>
    <t>Budianu; Petru Cristian</t>
  </si>
  <si>
    <t>2007/01/05</t>
  </si>
  <si>
    <t>2007/03/26</t>
  </si>
  <si>
    <t>2012/03/06</t>
  </si>
  <si>
    <t>13/402,537</t>
  </si>
  <si>
    <t>Budianu; Petru Cristian|Gore; Dhananjay Ashok|Gorokhov; Alexei Yurievitch</t>
  </si>
  <si>
    <t>2013/04/30</t>
  </si>
  <si>
    <t>H04B 26/00</t>
  </si>
  <si>
    <t>13/872,653</t>
  </si>
  <si>
    <t>2013/04/29</t>
  </si>
  <si>
    <t>13/257,773</t>
  </si>
  <si>
    <t>Method and system for transmitting downlink control information</t>
  </si>
  <si>
    <t>Dai; Bo|Li; Weijun|Yu; Guanghui|Zuo; Zhisong</t>
  </si>
  <si>
    <t>2009/11/02</t>
  </si>
  <si>
    <t>2013/05/28</t>
  </si>
  <si>
    <t>H04L5/0053</t>
  </si>
  <si>
    <t>Paging mechanisms for mobile stations with multiple subscriptions</t>
  </si>
  <si>
    <t>2012/10/16</t>
  </si>
  <si>
    <t>1.82</t>
  </si>
  <si>
    <t>13/235,086</t>
  </si>
  <si>
    <t>Multiple subscription resource access control</t>
  </si>
  <si>
    <t>Ngai; Francis M.</t>
  </si>
  <si>
    <t>2011/03/08</t>
  </si>
  <si>
    <t>2011/09/16</t>
  </si>
  <si>
    <t>H04W72/1215</t>
  </si>
  <si>
    <t>0.80</t>
  </si>
  <si>
    <t>13/953,969</t>
  </si>
  <si>
    <t>Hsu; Chih-Ping|Walke; Simon|Morrison; Shawn C.|Ngai; Francis M.</t>
  </si>
  <si>
    <t>Hsu; Chih-Ping</t>
  </si>
  <si>
    <t>2013/07/30</t>
  </si>
  <si>
    <t>13/955,335</t>
  </si>
  <si>
    <t>Fair instantaneous conflict resolution among N periodic contenders</t>
  </si>
  <si>
    <t>Ponukumati; Dhananjaya Sarma|Mohseni; Jafar|Shahidi; Reza|Rajurkar; Anand</t>
  </si>
  <si>
    <t>12/734,164</t>
  </si>
  <si>
    <t>Liu; Yang|Qu; Hongyun</t>
  </si>
  <si>
    <t>Liu; Yang</t>
  </si>
  <si>
    <t>H04L1/1887</t>
  </si>
  <si>
    <t>12/045,695</t>
  </si>
  <si>
    <t>Radio resource management in wireless cellular networks having multihop relay stations</t>
  </si>
  <si>
    <t>Cai; Sean|Olszewski; Kim</t>
  </si>
  <si>
    <t>2007/03/09</t>
  </si>
  <si>
    <t>2008/03/10</t>
  </si>
  <si>
    <t>H04W40/12</t>
  </si>
  <si>
    <t>12/684,577</t>
  </si>
  <si>
    <t>Systems and methods for resource allocation serving communication requirements and fairness</t>
  </si>
  <si>
    <t>Huang; Xiaolong|Das; Soumya</t>
  </si>
  <si>
    <t>1.26</t>
  </si>
  <si>
    <t>12/638,193</t>
  </si>
  <si>
    <t>Systems and methods for providing resource allocation meeting communication constraints for multi-hop network data flows</t>
  </si>
  <si>
    <t>Das; Soumya|Rajamani; Krishnan|Soliman; Samir S</t>
  </si>
  <si>
    <t>2009/12/15</t>
  </si>
  <si>
    <t>H04L45/302</t>
  </si>
  <si>
    <t>13/787,192</t>
  </si>
  <si>
    <t>H04L 12/413</t>
  </si>
  <si>
    <t>11/722,294</t>
  </si>
  <si>
    <t>Method and system for out of band predistortion linearization</t>
  </si>
  <si>
    <t>Liu; Xiaowei</t>
  </si>
  <si>
    <t>2004/12/21</t>
  </si>
  <si>
    <t>H04B  1/04</t>
  </si>
  <si>
    <t>H04L27/368</t>
  </si>
  <si>
    <t>2.88</t>
  </si>
  <si>
    <t>12/580,709</t>
  </si>
  <si>
    <t>Power amplifier linearization using digital predistortion</t>
  </si>
  <si>
    <t>Peiris; Bemini Hennadige Janath|Sankaran; Sundar G.</t>
  </si>
  <si>
    <t>Peiris; Bemini Hennadige Janath</t>
  </si>
  <si>
    <t>H04B1/0475</t>
  </si>
  <si>
    <t>12/580,836</t>
  </si>
  <si>
    <t>Power amplifier linearization system and method</t>
  </si>
  <si>
    <t>2012/12/25</t>
  </si>
  <si>
    <t>1.67</t>
  </si>
  <si>
    <t>13/171,236</t>
  </si>
  <si>
    <t>Transmit power control utilizing loopback error vector magnitude thresholds</t>
  </si>
  <si>
    <t>Husted; Paul J.|Mack; Michael P.|Ozgur; Soner|Ly-Gagnon; Yann</t>
  </si>
  <si>
    <t>Husted; Paul J.</t>
  </si>
  <si>
    <t>H03G</t>
  </si>
  <si>
    <t>H03G3/3042</t>
  </si>
  <si>
    <t>0.60</t>
  </si>
  <si>
    <t>11/205,774</t>
  </si>
  <si>
    <t>2009/02/24</t>
  </si>
  <si>
    <t>H04L27/2656</t>
  </si>
  <si>
    <t>5.92</t>
  </si>
  <si>
    <t>12/352,334</t>
  </si>
  <si>
    <t>Using CDMA to send uplink signals in WLANs</t>
  </si>
  <si>
    <t>Sampath; Hemanth|Vermani; Sameer</t>
  </si>
  <si>
    <t>2009/01/12</t>
  </si>
  <si>
    <t>12/443,961</t>
  </si>
  <si>
    <t>Reference signal design for cell search in an orthogonal wireless communication system</t>
  </si>
  <si>
    <t>10/313,943</t>
  </si>
  <si>
    <t>Jiang; James|Fang; Yonggang|Chion; Mary|Bhalla; Rajesh</t>
  </si>
  <si>
    <t>2008/11/18</t>
  </si>
  <si>
    <t>H04W84/08</t>
  </si>
  <si>
    <t>4.72</t>
  </si>
  <si>
    <t>12/212,537</t>
  </si>
  <si>
    <t>Continuous broadcast interface maintenance for group communications to wireless communications devices</t>
  </si>
  <si>
    <t>Song; Bongyong|Gill; Harleen</t>
  </si>
  <si>
    <t>12/212,532</t>
  </si>
  <si>
    <t>Continuous interface maintenance for group communications to a wireless communications device group</t>
  </si>
  <si>
    <t>CN2012/083626</t>
  </si>
  <si>
    <t>Method, system and base station for detecting physical cell identity conflict or confusion in network</t>
  </si>
  <si>
    <t>TIAN WEI [CN]</t>
  </si>
  <si>
    <t>2011/11/14</t>
  </si>
  <si>
    <t>2013/05/23</t>
  </si>
  <si>
    <t>14/177,585</t>
  </si>
  <si>
    <t>Methods and apparatus for network entity collision detection</t>
  </si>
  <si>
    <t>Shen; Cong|Radulescu; Andrei Dragos|Prakash; Rajat|Meshkati; Farhad</t>
  </si>
  <si>
    <t>Shen; Cong</t>
  </si>
  <si>
    <t>2013/09/04</t>
  </si>
  <si>
    <t>14/177,778</t>
  </si>
  <si>
    <t>CN2011/082186</t>
  </si>
  <si>
    <t>Harq merging method and device</t>
  </si>
  <si>
    <t>中兴通讯|中兴通讯股份有限公司 DONG,Liang|董亮 WANG,Xiyu</t>
  </si>
  <si>
    <t>DONG,Liang|董亮|WANG,Xiyu|王喜瑜</t>
  </si>
  <si>
    <t>DONG,Liang</t>
  </si>
  <si>
    <t>14/186,953</t>
  </si>
  <si>
    <t>Methods and apparatus for conditional offload of one or more log-likelihood ratios (LLRs) or decoded bits</t>
  </si>
  <si>
    <t>Smee; John Edward|Tran; Jean-Marie Quoc Danh|McCloud; Michael Lee|Black; Peter John|Gorokhov; Alexei Yurievitch</t>
  </si>
  <si>
    <t>Smee; John Edward</t>
  </si>
  <si>
    <t>2014/02/21</t>
  </si>
  <si>
    <t>US2014/017894</t>
  </si>
  <si>
    <t>Methods and apparatus for conditional offload of one or more log-likelihood ratios (llrs) or decoded bits</t>
  </si>
  <si>
    <t>SMEE,John Edward|TRAN,Jean-Marie Quoc Danh|MCCLOUD,Michael Lee|BLACK,Peter John|GOROKHOV,Alexei Yurievitch</t>
  </si>
  <si>
    <t>SMEE,John Edward</t>
  </si>
  <si>
    <t>2014/09/04</t>
  </si>
  <si>
    <t>CN2012/074451</t>
  </si>
  <si>
    <t>Device with fft radix 2 butterfly operation processing ability and method for implementing operations therefor</t>
  </si>
  <si>
    <t>SHEN,Chengke</t>
  </si>
  <si>
    <t>2012/04/20</t>
  </si>
  <si>
    <t>2012/11/08</t>
  </si>
  <si>
    <t>G06F 17/14</t>
  </si>
  <si>
    <t>13/798,599</t>
  </si>
  <si>
    <t>Vector processing engines having programmable data path configurations for providing multi-mode radix-2&lt;sup&gt;x &lt;/sup&gt;butterfly vector processing circuits, and related vector processors, systems, and methods</t>
  </si>
  <si>
    <t>Khan; Raheel</t>
  </si>
  <si>
    <t>2013/03/13</t>
  </si>
  <si>
    <t>G06F17/142</t>
  </si>
  <si>
    <t>13/798,641</t>
  </si>
  <si>
    <t>Vector processing engines having programmable data path configurations for providing multi-mode vector processing, and related vector processors, systems, and methods</t>
  </si>
  <si>
    <t>G06F  9/02</t>
  </si>
  <si>
    <t>G06F9/30036</t>
  </si>
  <si>
    <t>CN2010/078723</t>
  </si>
  <si>
    <t>WEN,Yongming</t>
  </si>
  <si>
    <t>13/664,694</t>
  </si>
  <si>
    <t>Intelligent inter radio access technology measurement reporting</t>
  </si>
  <si>
    <t>Yang; Ming|Chin; Tom|Shi; Guangming</t>
  </si>
  <si>
    <t>2012/08/24</t>
  </si>
  <si>
    <t>2012/10/31</t>
  </si>
  <si>
    <t>TW102130476</t>
  </si>
  <si>
    <t>智慧无线存取技术间量测报告</t>
  </si>
  <si>
    <t>杨明|金汤|石光明</t>
  </si>
  <si>
    <t>杨明</t>
  </si>
  <si>
    <t>2013/08/26</t>
  </si>
  <si>
    <t>2015/12/11</t>
  </si>
  <si>
    <t>CN2010/078412</t>
  </si>
  <si>
    <t>Method and device for adaptive adjusting uplink and downlink bandwidth</t>
  </si>
  <si>
    <t>中兴通讯|中兴通讯股份有限公司 LI,Yan|李岩 PENG,Aihua</t>
  </si>
  <si>
    <t>LI,Yan|李岩|PENG,Aihua|彭爱华</t>
  </si>
  <si>
    <t>2010/11/04</t>
  </si>
  <si>
    <t>2012/01/05</t>
  </si>
  <si>
    <t>0.30</t>
  </si>
  <si>
    <t>13/488,730</t>
  </si>
  <si>
    <t>Uplink downlink resource partitions in access point design</t>
  </si>
  <si>
    <t>Tavildar; Saurabh|Li; Junyi|Richardson; Thomas J.|Khude; Nilesh N.</t>
  </si>
  <si>
    <t>Tavildar; Saurabh</t>
  </si>
  <si>
    <t>US2013/044336</t>
  </si>
  <si>
    <t>TAVILDAR,Saurabh|LI,Junyi|RICHARDSON,Thomas J.|KHUDE,Nilesh N.</t>
  </si>
  <si>
    <t>TAVILDAR,Saurabh</t>
  </si>
  <si>
    <t>2013/06/05</t>
  </si>
  <si>
    <t>2013/12/12</t>
  </si>
  <si>
    <t>CN2010/078334</t>
  </si>
  <si>
    <t>Terminal and method for searching cell frequency</t>
  </si>
  <si>
    <t>中兴通讯|QIU NING|LI QIANG|ZENG WENQI|YU TIANKUN|LIU ZHONGWEI|XING YANNAN|LIANG LIHONG|LI LIWEN|LIN FENG|CHU JINTAO</t>
  </si>
  <si>
    <t>QIU,Ning|邱宁|LI,Qiang|李强|ZENG,Wenqi|曾文琪|YU,Tiankun|于天昆|LIU,Zhongwei|刘中伟</t>
  </si>
  <si>
    <t>QIU,Ning</t>
  </si>
  <si>
    <t>2010/05/24</t>
  </si>
  <si>
    <t>2010/11/02</t>
  </si>
  <si>
    <t>2011/12/01</t>
  </si>
  <si>
    <t>0.31</t>
  </si>
  <si>
    <t>13/781,394</t>
  </si>
  <si>
    <t>Frequency scan method for determining the system center frequency for LTE TDD</t>
  </si>
  <si>
    <t>Xu; Huilin|Challa; Raghu Narayan|Mahmoud; Hisham A.</t>
  </si>
  <si>
    <t>Xu; Huilin</t>
  </si>
  <si>
    <t>2012/03/02</t>
  </si>
  <si>
    <t>2013/02/28</t>
  </si>
  <si>
    <t>2016/01/05</t>
  </si>
  <si>
    <t>H04W52/18</t>
  </si>
  <si>
    <t>US2013/028674</t>
  </si>
  <si>
    <t>Frequency scan method for determining the system center frequency for lte tdd</t>
  </si>
  <si>
    <t>XU HUILIN|CHALLA RAGHU NARAYAN|MAHMOUD HISHAM A</t>
  </si>
  <si>
    <t>XU HUILIN</t>
  </si>
  <si>
    <t>2013/03/01</t>
  </si>
  <si>
    <t>CN2011/071977</t>
  </si>
  <si>
    <t>Method and apparatus for expanding user equipment identities of machine-type communications devices</t>
  </si>
  <si>
    <t>HUANG,Bo</t>
  </si>
  <si>
    <t>2011/03/18</t>
  </si>
  <si>
    <t>2011/11/10</t>
  </si>
  <si>
    <t>13/691,347</t>
  </si>
  <si>
    <t>Systems and methods for machine to machine device control and triggering</t>
  </si>
  <si>
    <t>Cherian; George|Wang; Jun|Palanigounder; Anand|Nasielski; John Wallace</t>
  </si>
  <si>
    <t>2011/12/06</t>
  </si>
  <si>
    <t>H04W 76/00</t>
  </si>
  <si>
    <t>H04L45/00</t>
  </si>
  <si>
    <t>US2012/068289</t>
  </si>
  <si>
    <t>CHERIAN GEORGE [US]|WANG JUN [US]|PALANIGOUNDER ANAND [US]|NASIELSKI JOHN WALLACE [US]</t>
  </si>
  <si>
    <t>2012/12/06</t>
  </si>
  <si>
    <t>CN2011/071881</t>
  </si>
  <si>
    <t>Method and system for reporting multimedia broadcast multicast service measurement</t>
  </si>
  <si>
    <t>中兴通讯|HE FENG|AI JIANXUN|HUANG YADA|HAN LIFENG</t>
  </si>
  <si>
    <t>HE,Feng|和峰|AI,Jianxun|艾建勋</t>
  </si>
  <si>
    <t>HE,Feng</t>
  </si>
  <si>
    <t>2010/04/02</t>
  </si>
  <si>
    <t>H04L 12/18</t>
  </si>
  <si>
    <t>0.67</t>
  </si>
  <si>
    <t>13/940,880</t>
  </si>
  <si>
    <t>Methods and apparatus for reporting signal quality in overlapping multimedia broadcast single frequency network (MBSFN) areas</t>
  </si>
  <si>
    <t>Gholmieh; Ralph Akram|Amerga; Daniel|Veerepalli; Sivaramakrishna|Patel; Ketan Narendra|Shauh; Jack Shyh-Hurng|Lee; Kuo-Chun|Verma; Ankur|Walker; Gordon Kent|Naik; Nagaraju|Maheshwari; Shailesh</t>
  </si>
  <si>
    <t>2012/07/16</t>
  </si>
  <si>
    <t>2013/07/12</t>
  </si>
  <si>
    <t>US2013/050514</t>
  </si>
  <si>
    <t>Methods and apparatus for reporting signal quality in overlapping multimedia broadcast single frequency network (mbsfn) areas</t>
  </si>
  <si>
    <t>GHOLMIEH,Ralph Akram|AMERGA,Daniel|VEEREPALLI,Sivaramakrishna|PATEL,Ketan Narendra|SHAUH,Jack Shyh-Hurng|LEE,Kuo-Chun|VERMA,Ankur|WALKER,Gordon Kent|NAIK,Nagaraju|MAHESHWARI,Shailesh</t>
  </si>
  <si>
    <t>GHOLMIEH,Ralph Akram</t>
  </si>
  <si>
    <t>2013/07/15</t>
  </si>
  <si>
    <t>CN2010/073984</t>
  </si>
  <si>
    <t>Method and device for monitoring multimedia broadcast and multicast service control channel notification message and user equipment</t>
  </si>
  <si>
    <t>XU,Hui</t>
  </si>
  <si>
    <t>2010/06/13</t>
  </si>
  <si>
    <t>2011/08/18</t>
  </si>
  <si>
    <t>13/309,540</t>
  </si>
  <si>
    <t>Method and an apparatus to optimize monitoring for a new EMBMS session in LTE networks</t>
  </si>
  <si>
    <t>Amerga; Daniel|Imran; Muhammad|Kapalli; Giri|Lee; Kuo-Chun|Maheshwari; Shailesh|Nagaraj; Thadi M.|Narayanan; Rajesh|Shauh; Jack S.</t>
  </si>
  <si>
    <t>Amerga; Daniel</t>
  </si>
  <si>
    <t>US2012/065714</t>
  </si>
  <si>
    <t>A method and an apparatus to optimize monitoring for a new embms session in lte networks</t>
  </si>
  <si>
    <t>AMERGA DANIEL [US]|MUHAMMAD IMRAN [US]|KAPALLI GIRI [US]|LEE KUO-CHUN [US]|MAHESHWARI SHAILESH [US]|NAGARAJ THADI M [US]|NARAYANAN RAJESH [US]|SHAUH JACK S [US]</t>
  </si>
  <si>
    <t>AMERGA DANIEL [US]</t>
  </si>
  <si>
    <t>2013/06/06</t>
  </si>
  <si>
    <t>CN2010/073980</t>
  </si>
  <si>
    <t>Receiving method, receiving equipment and user equipment for multicast control channels (mcchs) information</t>
  </si>
  <si>
    <t>CN2010/077185</t>
  </si>
  <si>
    <t>Method and apparatus for establishing network connection, method and system for making policy and charging control (pcc) strategy</t>
  </si>
  <si>
    <t>中兴通讯|中兴通讯股份有限公司 ZHU,Chunhui</t>
  </si>
  <si>
    <t>ZHU,Chunhui|朱春晖</t>
  </si>
  <si>
    <t>ZHU,Chunhui</t>
  </si>
  <si>
    <t>2009/10/19</t>
  </si>
  <si>
    <t>13/830,193</t>
  </si>
  <si>
    <t>Systems and methods for data exchange over common communication links</t>
  </si>
  <si>
    <t>Cherian; George|Wang; Jun</t>
  </si>
  <si>
    <t>2012/05/16</t>
  </si>
  <si>
    <t>H04W 40/12</t>
  </si>
  <si>
    <t>US2013/040813</t>
  </si>
  <si>
    <t>CHERIAN,George|WANG,Jun</t>
  </si>
  <si>
    <t>CHERIAN,George</t>
  </si>
  <si>
    <t>2013/05/13</t>
  </si>
  <si>
    <t>2013/11/21</t>
  </si>
  <si>
    <t>CN2010/074847</t>
  </si>
  <si>
    <t>Method and system for precoding and method for constructing precoding codebook</t>
  </si>
  <si>
    <t>中兴通讯|中兴通讯股份有限公司 CHEN,Yijian|陈艺戬 YU,Guanghui</t>
  </si>
  <si>
    <t>CHEN,Yijian|陈艺戬|YU,Guanghui|郁光辉</t>
  </si>
  <si>
    <t>CHEN,Yijian</t>
  </si>
  <si>
    <t>2009/08/10</t>
  </si>
  <si>
    <t>2011/02/17</t>
  </si>
  <si>
    <t>13/167,209</t>
  </si>
  <si>
    <t>Structured MIMO codebook</t>
  </si>
  <si>
    <t>Gaal; Peter|Geirhofer; Stefan|Montojo; Juan</t>
  </si>
  <si>
    <t>2010/06/24</t>
  </si>
  <si>
    <t>H04B7/0469</t>
  </si>
  <si>
    <t>14/512,223</t>
  </si>
  <si>
    <t>2014/10/10</t>
  </si>
  <si>
    <t>H04B7/0456</t>
  </si>
  <si>
    <t>CN2010/075553</t>
  </si>
  <si>
    <t>Method and apparatus for compressing route forwarding table of communication equipment</t>
  </si>
  <si>
    <t>中兴通讯|中兴通讯股份有限公司 XU,Jiarong</t>
  </si>
  <si>
    <t>XU,Jiarong|徐佳蓉</t>
  </si>
  <si>
    <t>XU,Jiarong</t>
  </si>
  <si>
    <t>2009/07/30</t>
  </si>
  <si>
    <t>13/558,006</t>
  </si>
  <si>
    <t>Forwarding tables for hybrid communication networks</t>
  </si>
  <si>
    <t>Schrum, Jr.; Sidney B.</t>
  </si>
  <si>
    <t>2012/07/25</t>
  </si>
  <si>
    <t>14/713,872</t>
  </si>
  <si>
    <t>Schrum, Jr.; Sidney Brower</t>
  </si>
  <si>
    <t>2015/05/15</t>
  </si>
  <si>
    <t>H04L12/6418</t>
  </si>
  <si>
    <t>CN2010/075439</t>
  </si>
  <si>
    <t>Method and device for controlling energy saving of inter-rat base station</t>
  </si>
  <si>
    <t>中兴通讯|中兴通讯股份有限公司 ZHAO,Jie</t>
  </si>
  <si>
    <t>ZHAO,Jie|赵杰</t>
  </si>
  <si>
    <t>ZHAO,Jie</t>
  </si>
  <si>
    <t>2010/07/23</t>
  </si>
  <si>
    <t>3.2</t>
  </si>
  <si>
    <t>13/070,398</t>
  </si>
  <si>
    <t>Cellular network energy saving</t>
  </si>
  <si>
    <t>Soliman; Samir S.|Awoniyi; Olufunmilola O.|Song; Osok|Lee; Jangwon|Griot; Miguel|Subramanian; Ramachandran</t>
  </si>
  <si>
    <t>2010/03/24</t>
  </si>
  <si>
    <t>13/249,160</t>
  </si>
  <si>
    <t>Configuration control of inter-cell signaling based on power state</t>
  </si>
  <si>
    <t>Awoniyi; Olufunmilola O.|Song; Osok|Song; Bongyong|Garavaglia; Andrea|Soliman; Samir Salib</t>
  </si>
  <si>
    <t>2010/10/01</t>
  </si>
  <si>
    <t>2011/09/29</t>
  </si>
  <si>
    <t>CN2010/072262</t>
  </si>
  <si>
    <t>Method for sending and detecting downlink control information</t>
  </si>
  <si>
    <t>中兴通讯|LI WEIJUN|DAI BO|YU GUANGHUI|CHEN YIJIAN</t>
  </si>
  <si>
    <t>LI,Weijun|李卫军|DAI,Bo|戴博</t>
  </si>
  <si>
    <t>LI,Weijun</t>
  </si>
  <si>
    <t>US2012/033069</t>
  </si>
  <si>
    <t>Transmission of control information for fdd-tdd carrier aggregation</t>
  </si>
  <si>
    <t>高通|CHEN,Wanshi|DAMNJANOVIC,Jelena M.</t>
  </si>
  <si>
    <t>高通|chen wanshi|damnjanovic jelena m</t>
  </si>
  <si>
    <t>CHEN,Wanshi|DAMNJANOVIC,Jelena M.</t>
  </si>
  <si>
    <t>CHEN,Wanshi</t>
  </si>
  <si>
    <t>2012/04/11</t>
  </si>
  <si>
    <t>4.4</t>
  </si>
  <si>
    <t>CN2009/076233</t>
  </si>
  <si>
    <t>Air interface synchronization method and system for home nodeb</t>
  </si>
  <si>
    <t>中兴通讯|中兴通讯股份有限公司 HUANG,Chun|黄春</t>
  </si>
  <si>
    <t>HUANG,Chun|黄春|HUANG,He</t>
  </si>
  <si>
    <t>HUANG,Chun</t>
  </si>
  <si>
    <t>2009/03/20</t>
  </si>
  <si>
    <t>2010/09/23</t>
  </si>
  <si>
    <t>2.15</t>
  </si>
  <si>
    <t>13/605,887</t>
  </si>
  <si>
    <t>Method and apparatus for distributed synchronization in femtocell networks</t>
  </si>
  <si>
    <t>Abchuyeh; Marjan Baghaie|Celebi; Samel|Blessent; Luca</t>
  </si>
  <si>
    <t>Abchuyeh; Marjan Baghaie</t>
  </si>
  <si>
    <t>2011/09/07</t>
  </si>
  <si>
    <t>2012/09/06</t>
  </si>
  <si>
    <t>H04J3/0638</t>
  </si>
  <si>
    <t>US2012/054314</t>
  </si>
  <si>
    <t>高通|ABCHUYEH,Marjan Baghaie|CELEBI,Samel|BLESSENT,Luca</t>
  </si>
  <si>
    <t>高通|abchuyeh marjan baghaie|celebi samel|blessent luca</t>
  </si>
  <si>
    <t>ABCHUYEH,Marjan Baghaie|CELEBI,Samel|BLESSENT,Luca</t>
  </si>
  <si>
    <t>ABCHUYEH,Marjan Baghaie</t>
  </si>
  <si>
    <t>2012/09/07</t>
  </si>
  <si>
    <t>US2009/053045</t>
  </si>
  <si>
    <t>System and method for femto-cell identification</t>
  </si>
  <si>
    <t>中兴通讯|ZHANG,Wenfeng|FANG,Yonggang</t>
  </si>
  <si>
    <t>中兴通讯|zhang wenfeng|fang yonggang</t>
  </si>
  <si>
    <t>ZHANG,Wenfeng|FANG,Yonggang</t>
  </si>
  <si>
    <t>ZHANG,Wenfeng</t>
  </si>
  <si>
    <t>1.7</t>
  </si>
  <si>
    <t>US2012/067469</t>
  </si>
  <si>
    <t>Managing access terminal handover in view of access point physical layer identifier confusion</t>
  </si>
  <si>
    <t>SINGH DAMANJIT|TINNAKORNSRISUPHAP PEERAPOL|TOKGOZ YELIZ|YAVUZ MEHMET</t>
  </si>
  <si>
    <t>SINGH DAMANJIT</t>
  </si>
  <si>
    <t>WO2012US67469</t>
  </si>
  <si>
    <t>MANAGING ACCESS TERMINAL HANDOVER IN VIEW OF ACCESS POINT PHYSICAL LAYER IDENTIFIER CONFUSION</t>
  </si>
  <si>
    <t>2013/07/25</t>
  </si>
  <si>
    <t>US2009/038110</t>
  </si>
  <si>
    <t>Dynamic adjustment and signaling of downlink/uplink allocation ratio in lte/tdd systems</t>
  </si>
  <si>
    <t>中兴通讯|ZHANG,Wenfeng</t>
  </si>
  <si>
    <t>中兴通讯|zhang wenfeng</t>
  </si>
  <si>
    <t>2009/03/24</t>
  </si>
  <si>
    <t>2009/10/01</t>
  </si>
  <si>
    <t>22.49</t>
  </si>
  <si>
    <t>13/953,502</t>
  </si>
  <si>
    <t>Cell selection based on favorable ULDL configuration in LTE/TDD networks</t>
  </si>
  <si>
    <t>Jain; Sachin|Sahu; Debesh Kumar|Gaal; Peter|Challa; Raghu Narayan</t>
  </si>
  <si>
    <t>Jain; Sachin</t>
  </si>
  <si>
    <t>2012/07/30</t>
  </si>
  <si>
    <t>2013/07/29</t>
  </si>
  <si>
    <t>US2013/052740</t>
  </si>
  <si>
    <t>Cell selection based on favorable uldl configuration in lte/ tdd networks</t>
  </si>
  <si>
    <t>JAIN,Sachin|SAHU,Debesh Kumar|GAAL,Peter|CHALLA,Raghu,Narayan</t>
  </si>
  <si>
    <t>JAIN,Sachin</t>
  </si>
  <si>
    <t>2014/02/06</t>
  </si>
  <si>
    <t>US2009/033684</t>
  </si>
  <si>
    <t>Method and system for joint encoding multiple independent information messages</t>
  </si>
  <si>
    <t>2008/02/11</t>
  </si>
  <si>
    <t>2009/02/10</t>
  </si>
  <si>
    <t>2009/08/20</t>
  </si>
  <si>
    <t>H04L  1/20</t>
  </si>
  <si>
    <t>0.83</t>
  </si>
  <si>
    <t>12/547,407</t>
  </si>
  <si>
    <t>Methods and apparatus of adapting number of advertised transmit antenna ports</t>
  </si>
  <si>
    <t>Montojo; Juan|Bhattad; Kapil|Farajidana; Amir</t>
  </si>
  <si>
    <t>2008/08/28</t>
  </si>
  <si>
    <t>2009/08/25</t>
  </si>
  <si>
    <t>H04W28/18</t>
  </si>
  <si>
    <t>0.74</t>
  </si>
  <si>
    <t>14/042,147</t>
  </si>
  <si>
    <t>2013/09/30</t>
  </si>
  <si>
    <t>US2008/080361</t>
  </si>
  <si>
    <t>Ofdm/ofdma frame structure for communication systems</t>
  </si>
  <si>
    <t>2007/10/17</t>
  </si>
  <si>
    <t>2008/10/17</t>
  </si>
  <si>
    <t>7.64</t>
  </si>
  <si>
    <t>12/859,089</t>
  </si>
  <si>
    <t>Timing adjustments in a communication system</t>
  </si>
  <si>
    <t>Luo; Tao|Doan; Dung Ngoc|Song; Wei-Jei|Macek; Daniel T.</t>
  </si>
  <si>
    <t>2014/05/20</t>
  </si>
  <si>
    <t>US2010/046043</t>
  </si>
  <si>
    <t>Communication system in which a length of a cyclic prefix portion of an information unit is adjusted to time-align the boundary of the information unit with the boundary of the adjacent information unit</t>
  </si>
  <si>
    <t>高通|LUO,Tao|DOAN,Dung Ngoc|SONG,Wei-Jei|MACEK,Daniel T.</t>
  </si>
  <si>
    <t>高通|luo tao|doan dung ngoc|song wei jei|macek daniel t</t>
  </si>
  <si>
    <t>LUO,Tao|DOAN,Dung Ngoc|SONG,Wei-Jei|MACEK,Daniel T.</t>
  </si>
  <si>
    <t>LUO,Tao</t>
  </si>
  <si>
    <t>2010/08/19</t>
  </si>
  <si>
    <t>CN2008/071837</t>
  </si>
  <si>
    <t>中兴通讯|中兴通讯股份有限公司 CHEN,Hui|陈慧</t>
  </si>
  <si>
    <t>CHEN,Hui|陈慧|ZHANG,Yincheng</t>
  </si>
  <si>
    <t>CHEN,Hui</t>
  </si>
  <si>
    <t>US2010/042963</t>
  </si>
  <si>
    <t>高通|MONTOJO,Juan|GAAL,Peter|MALLADI,Durga Prasad</t>
  </si>
  <si>
    <t>高通|montojo juan|gaal peter|malladi durga prasad</t>
  </si>
  <si>
    <t>MONTOJO,Juan|GAAL,Peter|MALLADI,Durga Prasad</t>
  </si>
  <si>
    <t>MONTOJO,Juan</t>
  </si>
  <si>
    <t>2010/07/22</t>
  </si>
  <si>
    <t>2.63</t>
  </si>
  <si>
    <t>CN2007/000916</t>
  </si>
  <si>
    <t>A channel estimation method</t>
  </si>
  <si>
    <t>中兴通讯|中兴通讯股份有限公司 XU,Guoping|许国平</t>
  </si>
  <si>
    <t>XU,Guoping|许国平|XIN,Yu</t>
  </si>
  <si>
    <t>XU,Guoping</t>
  </si>
  <si>
    <t>2007/03/21</t>
  </si>
  <si>
    <t>2008/09/25</t>
  </si>
  <si>
    <t>H04L 25/02</t>
  </si>
  <si>
    <t>12/842,752</t>
  </si>
  <si>
    <t>Adaptive transmissions in coordinated multiple point communications</t>
  </si>
  <si>
    <t>Luo; Tao|Malladi; Durga Prasad|Zhang; Xiaoxia|Wei; Yongbin|Montojo; Juan|Liu; Ke</t>
  </si>
  <si>
    <t>2009/07/29</t>
  </si>
  <si>
    <t>H04L25/0224</t>
  </si>
  <si>
    <t>CN201080033599.9</t>
  </si>
  <si>
    <t>协作多点通信中的自适应传输</t>
  </si>
  <si>
    <t>罗涛|D·P·马拉蒂|张晓霞|魏永斌|J·蒙托霍|K·刘</t>
  </si>
  <si>
    <t>2010/07/28</t>
  </si>
  <si>
    <t>2015/08/26</t>
  </si>
  <si>
    <t>CN2006/003673</t>
  </si>
  <si>
    <t>A method of data multiplexing for ofdm communication system</t>
  </si>
  <si>
    <t>中兴通讯|中兴通讯股份有限公司 YU,Guanghui</t>
  </si>
  <si>
    <t>YU,Guanghui|郁光辉</t>
  </si>
  <si>
    <t>YU,Guanghui</t>
  </si>
  <si>
    <t>2006/06/21</t>
  </si>
  <si>
    <t>2006/12/29</t>
  </si>
  <si>
    <t>2008/01/03</t>
  </si>
  <si>
    <t>1.68</t>
  </si>
  <si>
    <t>12/400,767</t>
  </si>
  <si>
    <t>Method and apparatus for mapping virtual resources to physical resources in a wireless communication system</t>
  </si>
  <si>
    <t>2009/03/09</t>
  </si>
  <si>
    <t>0.32</t>
  </si>
  <si>
    <t>13/948,021</t>
  </si>
  <si>
    <t>2013/07/22</t>
  </si>
  <si>
    <t>2015/04/14</t>
  </si>
  <si>
    <t>CN2006/003678</t>
  </si>
  <si>
    <t>A method for controlling compressed mode transmission on uplink e-dch</t>
  </si>
  <si>
    <t>LÜ,Pingbao</t>
  </si>
  <si>
    <t>2006/04/30</t>
  </si>
  <si>
    <t>2007/11/15</t>
  </si>
  <si>
    <t>14/405,143</t>
  </si>
  <si>
    <t>Methods and apparatus for enabling fast early termination of voice frames on the uplink</t>
  </si>
  <si>
    <t>Sambhwani; Sharad|Liang; Jiye|Huang; Yin|Razaghi; Peyman|Akkarakaran; Sony</t>
  </si>
  <si>
    <t>Sambhwani; Sharad</t>
  </si>
  <si>
    <t>2012/07/02</t>
  </si>
  <si>
    <t>CN2012/078023</t>
  </si>
  <si>
    <t>Methods and apparatuses for enabling fast early termination of voice frames on the uplink</t>
  </si>
  <si>
    <t>高通|SAMBHWANI,Sharad Deepak|LIANG,Jiye|HUANG,Yin|RAZAGHI,Peyman|索尼</t>
  </si>
  <si>
    <t>高通|sambhwani sharad deepak|liang jiye|huang yin|razaghi peyman|索尼</t>
  </si>
  <si>
    <t>SAMBHWANI,Sharad Deepak|LIANG,Jiye|HUANG,Yin|RAZAGHI,Peyman|AKKARAKARAN,Sony John</t>
  </si>
  <si>
    <t>SAMBHWANI,Sharad Deepak</t>
  </si>
  <si>
    <t>2014/01/09</t>
  </si>
  <si>
    <t>EP20110865828</t>
  </si>
  <si>
    <t>Base station, terminal, system and method for data transmitting in time-division duplex system</t>
  </si>
  <si>
    <t>HAO PENG [CN]|DAI BO [CN]|YU BIN [CN]</t>
  </si>
  <si>
    <t>HAO PENG [CN]</t>
  </si>
  <si>
    <t>2011/08/01</t>
  </si>
  <si>
    <t>2011/12/21</t>
  </si>
  <si>
    <t>H04L1/1854</t>
  </si>
  <si>
    <t>0.62</t>
  </si>
  <si>
    <t>13/565,704</t>
  </si>
  <si>
    <t>Allocating physical hybrid ARQ indicator channel (PHICH) resources</t>
  </si>
  <si>
    <t>Chen; Wanshi|Damnjanovic; Jelena M.|Montojo; Juan</t>
  </si>
  <si>
    <t>2012/08/02</t>
  </si>
  <si>
    <t>2016/02/09</t>
  </si>
  <si>
    <t>EP20140191870</t>
  </si>
  <si>
    <t>Allocating physical hybrid arq indicator channel (PHICH) resources</t>
  </si>
  <si>
    <t>Chen,Wanshi|Damnjanovic,Jelena M.|Montojo,Juan</t>
  </si>
  <si>
    <t>Chen,Wanshi</t>
  </si>
  <si>
    <t>EP20120763566</t>
  </si>
  <si>
    <t>Method and system for processing control channel information</t>
  </si>
  <si>
    <t>GUO SENBAO [CN]|SUN YUNFENG [CN]|GONG YUHONG [CN]|CHEN DONGLI [CN]|ZHANG JUNFENG [CN]</t>
  </si>
  <si>
    <t>GUO SENBAO [CN]</t>
  </si>
  <si>
    <t>2011/03/30</t>
  </si>
  <si>
    <t>2014/02/05</t>
  </si>
  <si>
    <t>1.0</t>
  </si>
  <si>
    <t>14/813,474</t>
  </si>
  <si>
    <t>Transmission and reception of discovery signals over a radio frequency spectrum band</t>
  </si>
  <si>
    <t>Luo; Tao|Wei; Yongbin|Gaal; Peter|Malladi; Durga Prasad</t>
  </si>
  <si>
    <t>H04L27/2662</t>
  </si>
  <si>
    <t>US2015/043124</t>
  </si>
  <si>
    <t>TRANSMISSION AND RECEPTION OF DISCOVERY SIGNALS OVER A RADIO FREQUENCY SPECTRUM BAND</t>
  </si>
  <si>
    <t>LUO,Tao|WEI,Yongbin|GAAL,Peter|MALLADI,Durga,Prasad</t>
  </si>
  <si>
    <t>2014/08/01</t>
  </si>
  <si>
    <t>2016/02/04</t>
  </si>
  <si>
    <t>EP20110774309</t>
  </si>
  <si>
    <t>LI HUI|XING XIAOJIANG</t>
  </si>
  <si>
    <t>LI HUI</t>
  </si>
  <si>
    <t>H04L29/08558</t>
  </si>
  <si>
    <t>EP20090849393</t>
  </si>
  <si>
    <t>Transmission method and transmission system for downlink control information</t>
  </si>
  <si>
    <t>DAI BO|WU XIN|YU GUANGHUI|LI WEIJUN</t>
  </si>
  <si>
    <t>DAI BO</t>
  </si>
  <si>
    <t>2009/09/21</t>
  </si>
  <si>
    <t>H04L1/0072</t>
  </si>
  <si>
    <t>US2013/030619</t>
  </si>
  <si>
    <t>Signaling of virtual cell identifiers and fallback operation</t>
  </si>
  <si>
    <t>CHEN,Wanshi|GEIRHOFER,Stefan|GAAL,Peter|LUO,Tao|XU,Hao</t>
  </si>
  <si>
    <t>2012/03/12</t>
  </si>
  <si>
    <t>2013/09/19</t>
  </si>
  <si>
    <t>WO2013US30619</t>
  </si>
  <si>
    <t>SIGNALING OF VIRTUAL CELL IDENTIFIERS AND FALLBACK OPERATION</t>
  </si>
  <si>
    <t>CHEN WANSHI|GEIRHOFER STEFAN|GAAL PETER|LUO TAO|XU HAO</t>
  </si>
  <si>
    <t>CHEN WANSHI</t>
  </si>
  <si>
    <t>EP20110826189</t>
  </si>
  <si>
    <t>Dual-network terminal and startup and shutdown method thereof</t>
  </si>
  <si>
    <t>QI LIN|TENG GUOLIN|SU YUTING|WEI YIDE</t>
  </si>
  <si>
    <t>QI LIN</t>
  </si>
  <si>
    <t>2010/11/12</t>
  </si>
  <si>
    <t>2011/03/14</t>
  </si>
  <si>
    <t>2012/07/11</t>
  </si>
  <si>
    <t>1.70</t>
  </si>
  <si>
    <t>14/074,534</t>
  </si>
  <si>
    <t>Parallel registration to offload PLMN with single SIM</t>
  </si>
  <si>
    <t>Ahmavaara; Kalle Ilmari</t>
  </si>
  <si>
    <t>2013/05/08</t>
  </si>
  <si>
    <t>2013/11/07</t>
  </si>
  <si>
    <t>US2014/036662</t>
  </si>
  <si>
    <t>Parallel registration to offload plmn with single sim</t>
  </si>
  <si>
    <t>AHMAVAARA,Kalle Ilmari</t>
  </si>
  <si>
    <t>2014/05/02</t>
  </si>
  <si>
    <t>H04W 28/08</t>
  </si>
  <si>
    <t>EP20100788701</t>
  </si>
  <si>
    <t>Charging system and method</t>
  </si>
  <si>
    <t>RUI TONG|ZHOU NA|ZONG ZAIFENG</t>
  </si>
  <si>
    <t>RUI TONG</t>
  </si>
  <si>
    <t>2012/06/20</t>
  </si>
  <si>
    <t>H04W  4/24</t>
  </si>
  <si>
    <t>H04L12/1407</t>
  </si>
  <si>
    <t>14/267,828</t>
  </si>
  <si>
    <t>Method for policy control and charging for D2D services</t>
  </si>
  <si>
    <t>Zisimopoulos; Haris|Tsirtsis; Georgios|Vanderveen; Michaela|Mahendran; Arungundram Chandrasekaran</t>
  </si>
  <si>
    <t>Zisimopoulos; Haris</t>
  </si>
  <si>
    <t>2014/05/01</t>
  </si>
  <si>
    <t>H04M15/66</t>
  </si>
  <si>
    <t>US2014/036708</t>
  </si>
  <si>
    <t>Method for policy control and charging for d2d services</t>
  </si>
  <si>
    <t>ZISIMOPOULOS,Haris|TSIRTSIS,Georgios|VANDERVEEN,Michaela|MAHENDRAN,Arungundram Chandrasekaran</t>
  </si>
  <si>
    <t>ZISIMOPOULOS,Haris</t>
  </si>
  <si>
    <t>2014/11/06</t>
  </si>
  <si>
    <t>H04L 12/14</t>
  </si>
  <si>
    <t>EP20090846397</t>
  </si>
  <si>
    <t>Multiple access method and multiple access system of terminals in evolved packet system (eps)</t>
  </si>
  <si>
    <t>ZHOU XIAOYUN|BI YIFENG|LU FEI</t>
  </si>
  <si>
    <t>ZHOU XIAOYUN</t>
  </si>
  <si>
    <t>2009/06/23</t>
  </si>
  <si>
    <t>2012/05/02</t>
  </si>
  <si>
    <t>H04W60/00</t>
  </si>
  <si>
    <t>US2013/061156</t>
  </si>
  <si>
    <t>Transport of control protocol for trusted wlan (twan) offload</t>
  </si>
  <si>
    <t>ZHAO,Suli|BALASUBRAMANIAN,Srinivasan|GIARETTA,Gerardo|MAHENDRAN,Arungundram Chandrasekaran|PAYYAPPILLY,Ajith Tom|BABBAR,Uppinder Singh</t>
  </si>
  <si>
    <t>ZHAO,Suli</t>
  </si>
  <si>
    <t>2012/09/24</t>
  </si>
  <si>
    <t>2013/09/23</t>
  </si>
  <si>
    <t>2014/03/27</t>
  </si>
  <si>
    <t>1.86</t>
  </si>
  <si>
    <t>TW102134413</t>
  </si>
  <si>
    <t>用于可信的无线区域网路卸载的控制协定的传送</t>
  </si>
  <si>
    <t>赵苏立|巴拉苏巴马尼安斯里伐山|贾瑞塔杰罗多|马赫德兰艾朗古德伦查德拉塞凯伦|帕亚彼利亚吉斯汤姆|巴尔巴优比德辛</t>
  </si>
  <si>
    <t>赵苏立</t>
  </si>
  <si>
    <t>2013/09/24</t>
  </si>
  <si>
    <t>2016/06/11</t>
  </si>
  <si>
    <t>H04L 12/70</t>
  </si>
  <si>
    <t>EP20090835997</t>
  </si>
  <si>
    <t>Method for physical uplink control channel of large bandwidth system</t>
  </si>
  <si>
    <t>ZHANG YUQIANG|DAI BO|HAO PENG|LIANG CHUNLI|YU BIN|MA ZHIFENG</t>
  </si>
  <si>
    <t>ZHANG YUQIANG</t>
  </si>
  <si>
    <t>2011/10/26</t>
  </si>
  <si>
    <t>4.19</t>
  </si>
  <si>
    <t>13/666,818</t>
  </si>
  <si>
    <t>Method and apparatus for managing retransmission resources</t>
  </si>
  <si>
    <t>Chen; Wanshi|Damnjanovic; Jelena M.|Gaal; Peter</t>
  </si>
  <si>
    <t>2011/11/04</t>
  </si>
  <si>
    <t>2012/11/01</t>
  </si>
  <si>
    <t>H04L1/1861</t>
  </si>
  <si>
    <t>US2012/063416</t>
  </si>
  <si>
    <t>CHEN WANSHI [US]|DAMNJANOVIC JELENA M [US]|GAAL PETER [US]</t>
  </si>
  <si>
    <t>CHEN WANSHI [US]</t>
  </si>
  <si>
    <t>EP20090817160</t>
  </si>
  <si>
    <t>Method for determining random access channel number and sending sounding reference signal</t>
  </si>
  <si>
    <t>HAO PENG|DAI BO|LIANG CHUNLI|YU BIN</t>
  </si>
  <si>
    <t>HAO PENG</t>
  </si>
  <si>
    <t>2008/09/28</t>
  </si>
  <si>
    <t>2011/06/22</t>
  </si>
  <si>
    <t>H04W  4/20</t>
  </si>
  <si>
    <t>H04W74/002</t>
  </si>
  <si>
    <t>0.46</t>
  </si>
  <si>
    <t>13/546,657</t>
  </si>
  <si>
    <t>Enhancing sounding reference signals (SRS)</t>
  </si>
  <si>
    <t>Zhang; Xiaoxia|Chen; Wanshi|Montojo; Juan</t>
  </si>
  <si>
    <t>US2012/046543</t>
  </si>
  <si>
    <t>Enhancing sounding reference signals (srs)</t>
  </si>
  <si>
    <t>高通|ZHANG,Xiaoxia|CHEN,Wanshi|MONTOJO,Juan</t>
  </si>
  <si>
    <t>高通|zhang xiaoxia|chen wanshi|montojo juan</t>
  </si>
  <si>
    <t>ZHANG,Xiaoxia|CHEN,Wanshi|MONTOJO,Juan</t>
  </si>
  <si>
    <t>EP20090807833</t>
  </si>
  <si>
    <t>MA ZIJIANG|SHEN WU|LI DAPENG</t>
  </si>
  <si>
    <t>2011/06/01</t>
  </si>
  <si>
    <t>1.69</t>
  </si>
  <si>
    <t>EP20090797406</t>
  </si>
  <si>
    <t>Method for measuring adjacent areas</t>
  </si>
  <si>
    <t>CHEN LIPING</t>
  </si>
  <si>
    <t>2011/04/06</t>
  </si>
  <si>
    <t>13/157,188</t>
  </si>
  <si>
    <t>Measurement scheduling in cell&lt;sub&gt;—&lt;/sub&gt;FACH (forward access channel) and cell&lt;sub&gt;—&lt;/sub&gt;DCH (dedicated channel) states</t>
  </si>
  <si>
    <t>Chen; Qingxin|Khandekar; Aamod Dinkar|Gummadi; Srikanth|Qing; Shan</t>
  </si>
  <si>
    <t>Chen; Qingxin</t>
  </si>
  <si>
    <t>2011/06/09</t>
  </si>
  <si>
    <t>US2012/041775</t>
  </si>
  <si>
    <t>Measurement scheduling in cell_fach (forward access channel) and cell_dch (dedicated channel) states background</t>
  </si>
  <si>
    <t>高通|CHEN,Qingxin|KHANDEKAR,Aamod,Dinkar|GUMMADI,Srikanth|QING,Shan</t>
  </si>
  <si>
    <t>高通|chen qingxin|khandekar aamod dinkar|gummadi srikanth|qing shan</t>
  </si>
  <si>
    <t>CHEN,Qingxin|KHANDEKAR,Aamod,Dinkar|GUMMADI,Srikanth|QING,Shan</t>
  </si>
  <si>
    <t>CHEN,Qingxin</t>
  </si>
  <si>
    <t>2012/06/08</t>
  </si>
  <si>
    <t>2012/12/13</t>
  </si>
  <si>
    <t>EP20070785359</t>
  </si>
  <si>
    <t>A td-scdma system and a method for controlling hsupa random access thereof</t>
  </si>
  <si>
    <t>CHEN HUI|ZHANG YINCHENG|MA ZHIFENG</t>
  </si>
  <si>
    <t>2006/08/22</t>
  </si>
  <si>
    <t>2007/08/15</t>
  </si>
  <si>
    <t>2009/05/20</t>
  </si>
  <si>
    <t>H04W72/1273</t>
  </si>
  <si>
    <t>3.98</t>
  </si>
  <si>
    <t>US2011/036886</t>
  </si>
  <si>
    <t>Alternate transmission scheme for high speed packet access (hspa)</t>
  </si>
  <si>
    <t>US2014/059755</t>
  </si>
  <si>
    <t>SCHEDULING REQUEST WITHOUT RANDOM ACCESS PROCEDURE</t>
  </si>
  <si>
    <t>2013/10/25</t>
  </si>
  <si>
    <t>2014/10/08</t>
  </si>
  <si>
    <t>2015/04/30</t>
  </si>
  <si>
    <t>EP20060775419</t>
  </si>
  <si>
    <t>Method for implement hsdpa for td-scdma</t>
  </si>
  <si>
    <t>ZHANG YINCHENG|MA ZIJIANG|YANG XUEJUN|MA ZHIFENG</t>
  </si>
  <si>
    <t>2005/08/19</t>
  </si>
  <si>
    <t>9.78</t>
  </si>
  <si>
    <t>12/884,667</t>
  </si>
  <si>
    <t>High speed control channel monitoring in a multicarrier radio access network</t>
  </si>
  <si>
    <t>2010/09/17</t>
  </si>
  <si>
    <t>H04L5/0091</t>
  </si>
  <si>
    <t>US2011/036146</t>
  </si>
  <si>
    <t>2011/05/11</t>
  </si>
  <si>
    <t>2011/11/17</t>
  </si>
  <si>
    <t>EP20050706647</t>
  </si>
  <si>
    <t>A method for reporting the frequency resource arrangement and frequency information of the multi-frequency cell</t>
  </si>
  <si>
    <t>ZHANG YINCHENG|MA ZIJIANG|WU BENSHOU</t>
  </si>
  <si>
    <t>2004/07/13</t>
  </si>
  <si>
    <t>2005/02/22</t>
  </si>
  <si>
    <t>2007/04/18</t>
  </si>
  <si>
    <t>9.85</t>
  </si>
  <si>
    <t>13/794,177</t>
  </si>
  <si>
    <t>Method and apparatus for media access control-based fast cell switching for high-speed packet access</t>
  </si>
  <si>
    <t>Chaponniere; Etienne F.|Flore; Oronzo</t>
  </si>
  <si>
    <t>Chaponniere; Etienne F.</t>
  </si>
  <si>
    <t>2008/03/21</t>
  </si>
  <si>
    <t>US2009/037880</t>
  </si>
  <si>
    <t>Method and apparatus for media access control -based fast cell switching for high-speed packet access</t>
  </si>
  <si>
    <t>高通|CHAPONNIERE,Etienne,F.|ORONZO,Flore</t>
  </si>
  <si>
    <t>高通|chaponniere etienne f|oronzo flore</t>
  </si>
  <si>
    <t>CHAPONNIERE,Etienne,F.|ORONZO,Flore</t>
  </si>
  <si>
    <t>CHAPONNIERE,Etienne,F.</t>
  </si>
  <si>
    <t>2009/09/24</t>
  </si>
  <si>
    <t>CN201110121347.8</t>
  </si>
  <si>
    <t>一种信道状态信息反馈方法及装置</t>
  </si>
  <si>
    <t>姜静|张力</t>
  </si>
  <si>
    <t>姜静</t>
  </si>
  <si>
    <t>2012/11/14</t>
  </si>
  <si>
    <t>14/567,914</t>
  </si>
  <si>
    <t>Ultra reliable link design</t>
  </si>
  <si>
    <t>Ji; Tingfang|Smee; John Edward|Soriaga; Joseph|Bhushan; Naga|Azarian Yazdi; Kambiz|Mukkavilli; Krishna Kiran|Gorokhov; Alexei Yurievitch|Gaal; Peter</t>
  </si>
  <si>
    <t>2014/12/11</t>
  </si>
  <si>
    <t>US2015/040488</t>
  </si>
  <si>
    <t>ULTRA RELIABLE LINK DESIGN</t>
  </si>
  <si>
    <t>JI,Tingfang|SMEE,John,Edward|SORIAGA,Joseph|BHUSHAN,Naga|AZARIAN YAZDI,Kambiz|MUKKAVILLI,Krishna,Kiran|GOROKHOV,Alexei,Yurievitch|GAAL,Peter</t>
  </si>
  <si>
    <t>2015/07/15</t>
  </si>
  <si>
    <t>2016/01/28</t>
  </si>
  <si>
    <t>CN201110034103.6</t>
  </si>
  <si>
    <t>自适应调制编码方法及装置</t>
  </si>
  <si>
    <t>张帅|许进|徐俊</t>
  </si>
  <si>
    <t>张帅</t>
  </si>
  <si>
    <t>6.17</t>
  </si>
  <si>
    <t>14/140,098</t>
  </si>
  <si>
    <t>Identifying modulation and coding schemes and channel quality indicators</t>
  </si>
  <si>
    <t>Chen; Wanshi|Gaal; Peter|Luo; Tao|Xu; Hao</t>
  </si>
  <si>
    <t>H04L5/0057</t>
  </si>
  <si>
    <t>US2013/077844</t>
  </si>
  <si>
    <t>CHEN,Wanshi|GAAL,Peter|LUO,Tao|XU,Hao</t>
  </si>
  <si>
    <t>2013/12/26</t>
  </si>
  <si>
    <t>2014/07/17</t>
  </si>
  <si>
    <t>2.38</t>
  </si>
  <si>
    <t>CN201010258904.6</t>
  </si>
  <si>
    <t>共存干扰避免方法及装置</t>
  </si>
  <si>
    <t>汪孙节</t>
  </si>
  <si>
    <t>2010/08/17</t>
  </si>
  <si>
    <t>2012/03/14</t>
  </si>
  <si>
    <t>5.80</t>
  </si>
  <si>
    <t>CN2013/070371</t>
  </si>
  <si>
    <t>Method and apparatus for fast handover evaluation</t>
  </si>
  <si>
    <t>高通|KANG,Insung|MAO,Jie|KHANDEKAR,Aamod Dinkar|SANKAR,Hari|SHEN,Qiang|JIN,Chao|TIAN,Song|TSAI,Shiau-He|CHEN,Qingxin|CHEN,Huichun</t>
  </si>
  <si>
    <t>高通|kang insung|mao jie|khandekar aamod dinkar|sankar hari|shen qiang|jin chao|tian song|tsai shiau he|chen qingxin|chen huichun</t>
  </si>
  <si>
    <t>KANG,Insung|MAO,Jie|KHANDEKAR,Aamod Dinkar|SANKAR,Hari|SHEN,Qiang|JIN,Chao|TIAN,Song|TSAI,Shiau-He|CHEN,Qingxin|CHEN,Huichun</t>
  </si>
  <si>
    <t>KANG,Insung</t>
  </si>
  <si>
    <t>2013/01/11</t>
  </si>
  <si>
    <t>CN2013/083744</t>
  </si>
  <si>
    <t>高通|KANG,Insung|MAO,Jie|KHANDEKAR,D.Aamond|SANKAR,Hari|SHEN,Qiang|JIN,Chao|TIAN,Song|TSAI,Shawn Shiau-He|CHEN,Qingxin|CHEN,Huichun</t>
  </si>
  <si>
    <t>高通|kang insung|mao jie|khandekar d aamond|sankar hari|shen qiang|jin chao|tian song|tsai shawn shiau he|chen qingxin|chen huichun</t>
  </si>
  <si>
    <t>KANG,Insung|MAO,Jie|KHANDEKAR,D.Aamond|SANKAR,Hari|SHEN,Qiang|JIN,Chao|TIAN,Song|TSAI,Shawn Shiau-He|CHEN,Qingxin|CHEN,Huichun</t>
  </si>
  <si>
    <t>2013/09/18</t>
  </si>
  <si>
    <t>CN201110172531.5</t>
  </si>
  <si>
    <t>互通电路服务回退</t>
  </si>
  <si>
    <t>中兴通讯(美国)公司</t>
  </si>
  <si>
    <t>方永刚|赵孝武|陆婷|余媛芳</t>
  </si>
  <si>
    <t>2.71</t>
  </si>
  <si>
    <t>CN2012/073526</t>
  </si>
  <si>
    <t>Method and apparatus for lte radio access network sharing</t>
  </si>
  <si>
    <t>高通|SHIROTA,Masakazu|ZHU,Xipeng|SWAMINATHAN,Arvind|WANG,Jun|CHERIAN,George</t>
  </si>
  <si>
    <t>高通|shirota masakazu|zhu xipeng|swaminathan arvind|wang jun|cherian george</t>
  </si>
  <si>
    <t>SHIROTA,Masakazu|ZHU,Xipeng|SWAMINATHAN,Arvind|WANG,Jun|CHERIAN,George</t>
  </si>
  <si>
    <t>2013/10/10</t>
  </si>
  <si>
    <t>CN2013/073765</t>
  </si>
  <si>
    <t>CN201010220679.7</t>
  </si>
  <si>
    <t>TDD系统与FDD系统间实现频谱协调的方法及装置</t>
  </si>
  <si>
    <t>李岩|田开波|赵楠|李峰</t>
  </si>
  <si>
    <t>李岩</t>
  </si>
  <si>
    <t>2011/12/28</t>
  </si>
  <si>
    <t>0.34</t>
  </si>
  <si>
    <t>CN2014/086087</t>
  </si>
  <si>
    <t>FLEXIBLE TRANSMISSIONS ON ONE OR MORE FREQUENCY DIVISION DUPLEXING RESOURCES</t>
  </si>
  <si>
    <t>高通|WEI,Chao|GAAL,Peter|CHEN,Wanshi|XU,Hao|HOU,Jilei|WANG,Neng</t>
  </si>
  <si>
    <t>高通|wei chao|gaal peter|chen wanshi|xu hao|hou jilei|wang neng</t>
  </si>
  <si>
    <t>WEI,Chao|GAAL,Peter|CHEN,Wanshi|XU,Hao|HOU,Jilei|WANG,Neng</t>
  </si>
  <si>
    <t>2014/09/08</t>
  </si>
  <si>
    <t>2016/03/17</t>
  </si>
  <si>
    <t>CN2015/086723</t>
  </si>
  <si>
    <t>2015/08/12</t>
  </si>
  <si>
    <t>CN201110191467.5</t>
  </si>
  <si>
    <t>一种信道状态信息的处理方法、装置及系统</t>
  </si>
  <si>
    <t>陈艺戬|徐俊</t>
  </si>
  <si>
    <t>陈艺戬</t>
  </si>
  <si>
    <t>2011/07/08</t>
  </si>
  <si>
    <t>2011/11/23</t>
  </si>
  <si>
    <t>15.85</t>
  </si>
  <si>
    <t>US2013/039739</t>
  </si>
  <si>
    <t>Rank-specific feedback for improved mimo support</t>
  </si>
  <si>
    <t>GEIRHOFER,Stefan|CHEN,Wanshi|GAAL,Peter|WEI,Yongbin|BHUSHAN,Naga</t>
  </si>
  <si>
    <t>GEIRHOFER,Stefan</t>
  </si>
  <si>
    <t>WO2013US39739</t>
  </si>
  <si>
    <t>RANK-SPECIFIC FEEDBACK FOR IMPROVED MIMO SUPPORT</t>
  </si>
  <si>
    <t>GEIRHOFER STEFAN|CHEN WANSHI|GAAL PETER|WEI YONGBIN|BHUSHAN NAGA</t>
  </si>
  <si>
    <t>GEIRHOFER STEFAN</t>
  </si>
  <si>
    <t>CN201110111805.X</t>
  </si>
  <si>
    <t>信道状态信息处理方法、装置及系统</t>
  </si>
  <si>
    <t>陈艺戬|徐俊|李儒岳|孙云锋|张峻峰</t>
  </si>
  <si>
    <t>2011/04/29</t>
  </si>
  <si>
    <t>2011/09/28</t>
  </si>
  <si>
    <t>7.45</t>
  </si>
  <si>
    <t>CN201110103981.9</t>
  </si>
  <si>
    <t>一种基于同轴分配网的宽带接入的方法和系统</t>
  </si>
  <si>
    <t>孙畅|李立|李卫东|王春华</t>
  </si>
  <si>
    <t>孙畅</t>
  </si>
  <si>
    <t>8.7</t>
  </si>
  <si>
    <t>CN2012/075255</t>
  </si>
  <si>
    <t>Full-duplex ethernet communications over coaxial links using time-division duplexing</t>
  </si>
  <si>
    <t>高通|SHELLHAMMER,Steve|MONTOJO,Juan|GARAVAGLIA,Andrea|PIETSCH,Christian|VARANESE,Nicola|NIE,Honger</t>
  </si>
  <si>
    <t>高通|shellhammer steve|montojo juan|garavaglia andrea|pietsch christian|varanese nicola|nie honger</t>
  </si>
  <si>
    <t>SHELLHAMMER,Steve|MONTOJO,Juan|GARAVAGLIA,Andrea|PIETSCH,Christian|VARANESE,Nicola|NIE,Honger</t>
  </si>
  <si>
    <t>SHELLHAMMER,Steve</t>
  </si>
  <si>
    <t>2012/05/09</t>
  </si>
  <si>
    <t>CN2012/086767</t>
  </si>
  <si>
    <t>Multicast traffic bridging</t>
  </si>
  <si>
    <t>高通|KO,Tienchuan|NIE,Honger|HU,Xinyu|GARAVAGLIA,Andrea|SHELLHAMMER,Steven J.|LI,Xuguang|STUPAR,Patrick</t>
  </si>
  <si>
    <t>高通|ko tienchuan|nie honger|hu xinyu|garavaglia andrea|shellhammer steven j|li xuguang|stupar patrick</t>
  </si>
  <si>
    <t>NIE,Honger|HU,Xinyu|GARAVAGLIA,Andrea|SHELLHAMMER,Steven J.|LI,Xuguang|STUPAR,Patrick</t>
  </si>
  <si>
    <t>NIE,Honger</t>
  </si>
  <si>
    <t>2012/12/17</t>
  </si>
  <si>
    <t>2014/06/26</t>
  </si>
  <si>
    <t>CN201010138659.5</t>
  </si>
  <si>
    <t>OTN设备和OTN的带宽调整方法</t>
  </si>
  <si>
    <t>彭肖|古渊|王加莹|罗彬</t>
  </si>
  <si>
    <t>彭肖</t>
  </si>
  <si>
    <t>2.78</t>
  </si>
  <si>
    <t>13/765,727</t>
  </si>
  <si>
    <t>Support for signaling over flexible bandwidth carrier</t>
  </si>
  <si>
    <t>Das; Soumya|Quick, Jr.; Roy Franklin|Park; Edwin C.</t>
  </si>
  <si>
    <t>2013/02/13</t>
  </si>
  <si>
    <t>US2013/065082</t>
  </si>
  <si>
    <t>DAS,Soumya|QUICK,Roy Franklin,Jr.|PARK,Edwin C.</t>
  </si>
  <si>
    <t>DAS,Soumya</t>
  </si>
  <si>
    <t>2013/10/15</t>
  </si>
  <si>
    <t>2014/04/24</t>
  </si>
  <si>
    <t>CN201010606197.5</t>
  </si>
  <si>
    <t>一种上行控制信息的发送方法和装置</t>
  </si>
  <si>
    <t>任璐|戴博|梁春丽|杨维维|喻斌</t>
  </si>
  <si>
    <t>任璐</t>
  </si>
  <si>
    <t>2010/12/24</t>
  </si>
  <si>
    <t>2011/05/25</t>
  </si>
  <si>
    <t>3.49</t>
  </si>
  <si>
    <t>13/558,110</t>
  </si>
  <si>
    <t>Transmission of control information in a wireless network with carrier aggregation</t>
  </si>
  <si>
    <t>Damnjanovic; Jelena M.|Chen; Wanshi|Montojo; Juan|Wei; Yongbin</t>
  </si>
  <si>
    <t>Damnjanovic; Jelena M.</t>
  </si>
  <si>
    <t>CN201280044559.3</t>
  </si>
  <si>
    <t>在无线网络中，使用载波聚合进行控制信息的传输</t>
  </si>
  <si>
    <t>J·M·达姆尼亚诺维奇|W·陈|J·蒙托霍|魏永斌</t>
  </si>
  <si>
    <t>J·M·达姆尼亚诺维奇</t>
  </si>
  <si>
    <t>2012/07/26</t>
  </si>
  <si>
    <t>CN201010243017.1</t>
  </si>
  <si>
    <t>EPS承载上下文状态的同步方法及系统</t>
  </si>
  <si>
    <t>游峡</t>
  </si>
  <si>
    <t>H04W  8/24</t>
  </si>
  <si>
    <t>13/786,849</t>
  </si>
  <si>
    <t>Methods and apparatus for improving data service availability</t>
  </si>
  <si>
    <t>Ramachandran; Shyamal|Klingenbrunn; Thomas|Ren; Zhong|Drapkin; Vitaly</t>
  </si>
  <si>
    <t>Ramachandran; Shyamal</t>
  </si>
  <si>
    <t>H04W76/02</t>
  </si>
  <si>
    <t>US2013/029514</t>
  </si>
  <si>
    <t>RAMACHANDRAN,Shyamal|KLINGENBRUNN,Thomas|REN,Zhong|DRAPKIN,Vitaly</t>
  </si>
  <si>
    <t>2012/03/30</t>
  </si>
  <si>
    <t>2013/10/03</t>
  </si>
  <si>
    <t>CN201010216767.X</t>
  </si>
  <si>
    <t>一种针对协作波束赋型的优化加权CSI反馈方法和装置</t>
  </si>
  <si>
    <t>张峻峰|魏宁|张忠培</t>
  </si>
  <si>
    <t>22.29</t>
  </si>
  <si>
    <t>CN2014/071869</t>
  </si>
  <si>
    <t>高通|WEI,Chao</t>
  </si>
  <si>
    <t>高通|wei chao</t>
  </si>
  <si>
    <t>CN200910130488.9</t>
  </si>
  <si>
    <t>一种封闭用户组小区的测量报告上报方法</t>
  </si>
  <si>
    <t>邓云|施小娟</t>
  </si>
  <si>
    <t>邓云</t>
  </si>
  <si>
    <t>2009/04/16</t>
  </si>
  <si>
    <t>3.48</t>
  </si>
  <si>
    <t>CN201010177511.2</t>
  </si>
  <si>
    <t>反馈信道状态信息的方法及装置</t>
  </si>
  <si>
    <t>李儒岳|陈艺戬|徐俊|张峻峰</t>
  </si>
  <si>
    <t>李儒岳</t>
  </si>
  <si>
    <t>11.56</t>
  </si>
  <si>
    <t>CN2013/077164</t>
  </si>
  <si>
    <t>Two-dimensional discrete fourier transform (2d-dft) based codebook for elevation beamforming</t>
  </si>
  <si>
    <t>高通|CHENG,Peng|WEI,Chao|WANG,Neng|HOU,Jilei</t>
  </si>
  <si>
    <t>高通|cheng peng|wei chao|wang neng|hou jilei</t>
  </si>
  <si>
    <t>CHENG,Peng|WEI,Chao|WANG,Neng|HOU,Jilei</t>
  </si>
  <si>
    <t>CHENG,Peng</t>
  </si>
  <si>
    <t>CN2014/079735</t>
  </si>
  <si>
    <t>Two-dimensional discrete fourier transform (2d- dft) based codebook for elevation beamforming</t>
  </si>
  <si>
    <t>CN201010002226.7</t>
  </si>
  <si>
    <t>载波聚合场景下系统信息的传输方法及系统</t>
  </si>
  <si>
    <t>戴博|曾萍|吴欣|左志松</t>
  </si>
  <si>
    <t>2010/07/07</t>
  </si>
  <si>
    <t>12.96</t>
  </si>
  <si>
    <t>CN200810171226.2</t>
  </si>
  <si>
    <t>自动配置服务器重定向方法及自动配置服务器</t>
  </si>
  <si>
    <t>蒋昕|方亚东</t>
  </si>
  <si>
    <t>蒋昕</t>
  </si>
  <si>
    <t>2008/10/27</t>
  </si>
  <si>
    <t>0.72</t>
  </si>
  <si>
    <t>14/103,437</t>
  </si>
  <si>
    <t>Loading a re-directed web resource on a web browser of a client device in a communications system</t>
  </si>
  <si>
    <t>Hershberg; Joshua|Berelejis; Gabriel|Mizrotsky; Eitan</t>
  </si>
  <si>
    <t>Hershberg; Joshua</t>
  </si>
  <si>
    <t>2013/12/11</t>
  </si>
  <si>
    <t>H04L67/2814</t>
  </si>
  <si>
    <t>14/103,405</t>
  </si>
  <si>
    <t>Loading a re-directed web page on a web browser of a client device in a communications system</t>
  </si>
  <si>
    <t>CN200910085721.6</t>
  </si>
  <si>
    <t>一种实现PDN连接选择的方法及系统</t>
  </si>
  <si>
    <t>曲爱妍</t>
  </si>
  <si>
    <t>8.12</t>
  </si>
  <si>
    <t>13/161,416</t>
  </si>
  <si>
    <t>Method and apparatus for managing packet data network connectivity</t>
  </si>
  <si>
    <t>Horn; Gavin Bernard|Griot; Miguel|Subramanian; Ramachandran</t>
  </si>
  <si>
    <t>Horn; Gavin Bernard</t>
  </si>
  <si>
    <t>CN201180035447.7</t>
  </si>
  <si>
    <t>用于管理分组数据网络连通性的方法和装置</t>
  </si>
  <si>
    <t>G·B·霍恩|M·格瑞特|R·舒伯拉玛尼安</t>
  </si>
  <si>
    <t>2011/06/17</t>
  </si>
  <si>
    <t>CN200910221157.6</t>
  </si>
  <si>
    <t>一种物理混合重传指示信道的传输方法和装置</t>
  </si>
  <si>
    <t>戴博|郁光辉|曾萍|吴欣|左志松</t>
  </si>
  <si>
    <t>16.9</t>
  </si>
  <si>
    <t>13/105,424</t>
  </si>
  <si>
    <t>Acknowledgment transmissions under cross-subframe resource allocation in LTE-A</t>
  </si>
  <si>
    <t>Chen; Wanshi|Luo; Tao|Gaal; Peter|Montojo; Juan</t>
  </si>
  <si>
    <t>US2011/036331</t>
  </si>
  <si>
    <t>Acknowledgment transmissions under cross-subframe resource allocation in lte-a</t>
  </si>
  <si>
    <t>高通|CHEN,Wanshi|LUO,Tao|GAAL,Peter|MONTOJO,Juan</t>
  </si>
  <si>
    <t>高通|chen wanshi|luo tao|gaal peter|montojo juan</t>
  </si>
  <si>
    <t>CHEN,Wanshi|LUO,Tao|GAAL,Peter|MONTOJO,Juan</t>
  </si>
  <si>
    <t>CN200910090829.4</t>
  </si>
  <si>
    <t>载波聚合下周期性CQI反馈的方法和装置</t>
  </si>
  <si>
    <t>曾  萍|梁春丽|夏树强</t>
  </si>
  <si>
    <t>曾  萍</t>
  </si>
  <si>
    <t>2009/08/07</t>
  </si>
  <si>
    <t>44.33</t>
  </si>
  <si>
    <t>13/208,106</t>
  </si>
  <si>
    <t>Channel state information feedback for carrier aggregation</t>
  </si>
  <si>
    <t>Damnjanovic; Jelena M.|Montojo; Juan|Gaal; Peter|Chen; Wanshi</t>
  </si>
  <si>
    <t>CN201180049713.1</t>
  </si>
  <si>
    <t>用于载波聚合的信道状态信息反馈的方法及装置</t>
  </si>
  <si>
    <t>J·M·达姆尼亚诺维奇|J·蒙托霍|P·加尔|W·陈</t>
  </si>
  <si>
    <t>2016/11/30</t>
  </si>
  <si>
    <t>CN200810099501.4</t>
  </si>
  <si>
    <t>控制信令发送方法</t>
  </si>
  <si>
    <t>孙云锋|姜  静|支  周|郭  阳|李  峰</t>
  </si>
  <si>
    <t>孙云锋</t>
  </si>
  <si>
    <t>2008/05/09</t>
  </si>
  <si>
    <t>2009/11/11</t>
  </si>
  <si>
    <t>2.47</t>
  </si>
  <si>
    <t>13/287,921</t>
  </si>
  <si>
    <t>Beamforming feedback format</t>
  </si>
  <si>
    <t>Sampath; Hemanth|Vermani; Sameer|Van Zelst; Albert|Van Nee; Didier Johannes Richard</t>
  </si>
  <si>
    <t>2011/11/02</t>
  </si>
  <si>
    <t>CN201180053158.X</t>
  </si>
  <si>
    <t>波束成形反馈格式</t>
  </si>
  <si>
    <t>H·桑帕斯|S·韦尔玛尼|A·范策尔斯特|D·J·R·范尼</t>
  </si>
  <si>
    <t>H·桑帕斯</t>
  </si>
  <si>
    <t>CN200810094548.1</t>
  </si>
  <si>
    <t>一种子载波映射方法</t>
  </si>
  <si>
    <t>李  艳</t>
  </si>
  <si>
    <t>2008/04/22</t>
  </si>
  <si>
    <t>2009/10/28</t>
  </si>
  <si>
    <t>H04W 16/24</t>
  </si>
  <si>
    <t>7.29</t>
  </si>
  <si>
    <t>13/210,102</t>
  </si>
  <si>
    <t>Search space design for relay physical downlink control channel (R-PDCCH)</t>
  </si>
  <si>
    <t>Chen; Wanshi|Montojo; Juan</t>
  </si>
  <si>
    <t>2011/08/15</t>
  </si>
  <si>
    <t>CN201180046823.2</t>
  </si>
  <si>
    <t>用于中继物理下行链路控制信道（R-PDCCH）的搜索空间设计</t>
  </si>
  <si>
    <t>W·陈|J·蒙托霍</t>
  </si>
  <si>
    <t>2011/08/16</t>
  </si>
  <si>
    <t>2016/10/12</t>
  </si>
  <si>
    <t>CN200810087766.2</t>
  </si>
  <si>
    <t>一种多载波时分同步码分多址系统中随机接入的方法</t>
  </si>
  <si>
    <t>熊  伟</t>
  </si>
  <si>
    <t>CN201080000931.1</t>
  </si>
  <si>
    <t>用于促成随机接入规程期间的用户装备退避的方法和装置</t>
  </si>
  <si>
    <t>CN200910129293.2</t>
  </si>
  <si>
    <t>一种参考信号的发送方法</t>
  </si>
  <si>
    <t>戴  博|郁光辉|李卫军|徐  俊</t>
  </si>
  <si>
    <t>2009/04/09</t>
  </si>
  <si>
    <t>10.74</t>
  </si>
  <si>
    <t>12/898,458</t>
  </si>
  <si>
    <t>MBSFN subframe generation and processing for Unicast</t>
  </si>
  <si>
    <t>Montojo; Juan|Gaal; Peter|Chen; Wanshi</t>
  </si>
  <si>
    <t>2009/10/06</t>
  </si>
  <si>
    <t>2010/10/05</t>
  </si>
  <si>
    <t>CN201080044892.5</t>
  </si>
  <si>
    <t>单频网络上多媒体广播/多播服务子帧的产生及针对单播的处理</t>
  </si>
  <si>
    <t>胡安·蒙托霍|彼得·加尔|陈万石</t>
  </si>
  <si>
    <t>胡安·蒙托霍</t>
  </si>
  <si>
    <t>2010/10/06</t>
  </si>
  <si>
    <t>2016/02/17</t>
  </si>
  <si>
    <t>CN200810057414.2</t>
  </si>
  <si>
    <t>一种降低GSM基站功耗的方法及装置</t>
  </si>
  <si>
    <t>徐大河|高  飞|曾  武</t>
  </si>
  <si>
    <t>徐大河</t>
  </si>
  <si>
    <t>12/985,732</t>
  </si>
  <si>
    <t>Apparatus and method for reducing energy consumption by cellular base stations</t>
  </si>
  <si>
    <t>Scipione; Mario Mark|Sambhwani; Sharad Deepak|Mohanty; Bibhu Prasad</t>
  </si>
  <si>
    <t>Scipione; Mario Mark</t>
  </si>
  <si>
    <t>2010/01/11</t>
  </si>
  <si>
    <t>H04W52/0206</t>
  </si>
  <si>
    <t>14/597,500</t>
  </si>
  <si>
    <t>Reducing energy consumption in a basestation by shutting off secondary pilot transmission in absence of MIMO users</t>
  </si>
  <si>
    <t>2015/01/15</t>
  </si>
  <si>
    <t>CN200910077088.6</t>
  </si>
  <si>
    <t>物理上行控制信道的发送方法及用户设备</t>
  </si>
  <si>
    <t>张禹强|戴  博|喻  斌|郝  鹏|梁春丽|马志锋</t>
  </si>
  <si>
    <t>张禹强</t>
  </si>
  <si>
    <t>2009/01/20</t>
  </si>
  <si>
    <t>19.53</t>
  </si>
  <si>
    <t>13/078,765</t>
  </si>
  <si>
    <t>HARQ ACK/NACK transmission for multi-carrier operation</t>
  </si>
  <si>
    <t>2011/04/01</t>
  </si>
  <si>
    <t>2017/01/24</t>
  </si>
  <si>
    <t>CN201180016449.1</t>
  </si>
  <si>
    <t>针对多载波操作的HARQACK/NACK传输</t>
  </si>
  <si>
    <t>W·陈|J·M·达姆尼亚诺维奇|J·蒙托霍</t>
  </si>
  <si>
    <t>2011/04/05</t>
  </si>
  <si>
    <t>2015/10/21</t>
  </si>
  <si>
    <t>CN200910009897.3</t>
  </si>
  <si>
    <t>一种随机接入过程中标识下行分量载波的方法及基站</t>
  </si>
  <si>
    <t>朱  鹏|郝  鹏|喻  斌</t>
  </si>
  <si>
    <t>朱  鹏</t>
  </si>
  <si>
    <t>2009/02/02</t>
  </si>
  <si>
    <t>20.59</t>
  </si>
  <si>
    <t>13/049,212</t>
  </si>
  <si>
    <t>Random access design in a multiple component carrier communication network</t>
  </si>
  <si>
    <t>Damnjanovic; Jelena M.|Gaal; Peter|Prakash; Rajat|Damnjanovic; Aleksandar</t>
  </si>
  <si>
    <t>H04W56/0045</t>
  </si>
  <si>
    <t>CN201180014498.1</t>
  </si>
  <si>
    <t>多分量载波通信网络中的随机接入设计</t>
  </si>
  <si>
    <t>J·M·达姆尼亚诺维奇|P·加尔|R·普拉卡什|A·达姆尼亚诺维奇</t>
  </si>
  <si>
    <t>2016/01/27</t>
  </si>
  <si>
    <t>CN200910006121.6</t>
  </si>
  <si>
    <t>时分双工系统上行导频时隙内测量参考信号的发送方法</t>
  </si>
  <si>
    <t>郝  鹏|喻  斌</t>
  </si>
  <si>
    <t>郝  鹏</t>
  </si>
  <si>
    <t>1.41</t>
  </si>
  <si>
    <t>13/247,584</t>
  </si>
  <si>
    <t>Aperiodic SRS for carrier aggregation</t>
  </si>
  <si>
    <t>Damnjanovic; Jelena M.|Chen; Wanshi|Gaal; Peter|Montojo; Juan</t>
  </si>
  <si>
    <t>CN201180057016.0</t>
  </si>
  <si>
    <t>用于载波聚合的非周期性SRS方法和装置</t>
  </si>
  <si>
    <t>J·M·达姆尼亚诺维奇|W·陈|P·加尔|J·蒙托霍</t>
  </si>
  <si>
    <t>CN200810084804.9</t>
  </si>
  <si>
    <t>一种下发策略计费控制规则的方法</t>
  </si>
  <si>
    <t>周晓云|宗在峰|芮  通|王志海</t>
  </si>
  <si>
    <t>周晓云</t>
  </si>
  <si>
    <t>2008/03/18</t>
  </si>
  <si>
    <t>3.9</t>
  </si>
  <si>
    <t>12/853,164</t>
  </si>
  <si>
    <t>Method and apparatus for handling policy and charging control rule or quality of service rule modification failures</t>
  </si>
  <si>
    <t>Jin; Haipeng|Giaretta; Gerardo|Song; Osok|Mahendran; Arungundram Chandrasekaran</t>
  </si>
  <si>
    <t>Jin; Haipeng</t>
  </si>
  <si>
    <t>H04L41/0806</t>
  </si>
  <si>
    <t>0.16</t>
  </si>
  <si>
    <t>CN201080035142.1</t>
  </si>
  <si>
    <t>用于处理策略和计费控制规则或服务质量规则修改失败的方法和装置</t>
  </si>
  <si>
    <t>靳海鹏|G·贾雷塔|O·宋|A·C·马亨德兰</t>
  </si>
  <si>
    <t>靳海鹏</t>
  </si>
  <si>
    <t>2015/10/07</t>
  </si>
  <si>
    <t>CN200710151497.7</t>
  </si>
  <si>
    <t>一种节电状态下终端更新系统配置的方法</t>
  </si>
  <si>
    <t>张  燕</t>
  </si>
  <si>
    <t>12/498,797</t>
  </si>
  <si>
    <t>Paging schemes for local network access</t>
  </si>
  <si>
    <t>Ulupinar; Fatih|Agashe; Parag A.|Gupta; Rajarshi</t>
  </si>
  <si>
    <t>Ulupinar; Fatih</t>
  </si>
  <si>
    <t>2009/07/07</t>
  </si>
  <si>
    <t>2014/09/02</t>
  </si>
  <si>
    <t>H04W 52/00</t>
  </si>
  <si>
    <t>12/498,785</t>
  </si>
  <si>
    <t>Paging and power management schemes for local network access</t>
  </si>
  <si>
    <t>H04W52/00</t>
  </si>
  <si>
    <t>CN200810175504.1</t>
  </si>
  <si>
    <t>下行控制信息处理方法</t>
  </si>
  <si>
    <t>2009/04/08</t>
  </si>
  <si>
    <t>62.19</t>
  </si>
  <si>
    <t>12/770,506</t>
  </si>
  <si>
    <t>PDCCH search space design for LTE-A multi-carrier operation</t>
  </si>
  <si>
    <t>Chen; Wanshi|Gaal; Peter|Montojo; Juan</t>
  </si>
  <si>
    <t>2009/04/30</t>
  </si>
  <si>
    <t>2010/04/29</t>
  </si>
  <si>
    <t>H04L5/00</t>
  </si>
  <si>
    <t>CN201080019539.1</t>
  </si>
  <si>
    <t>用于LTE-A多载波操作的PDCCH搜索空间设计</t>
  </si>
  <si>
    <t>W·陈|P·盖尔|J·蒙托约</t>
  </si>
  <si>
    <t>2014/09/10</t>
  </si>
  <si>
    <t>H04L  5/06</t>
  </si>
  <si>
    <t>CN200810171269.0</t>
  </si>
  <si>
    <t>在大带宽系统中数据传输的方法</t>
  </si>
  <si>
    <t>戴  博|郁光辉|李卫军</t>
  </si>
  <si>
    <t>2008/10/30</t>
  </si>
  <si>
    <t>H04B  1/713</t>
  </si>
  <si>
    <t>19.8</t>
  </si>
  <si>
    <t>CN200710145950.3</t>
  </si>
  <si>
    <t>一种增强无线通信系统分集效果的方法</t>
  </si>
  <si>
    <t>李  永|郁光辉|袁柳清</t>
  </si>
  <si>
    <t>李  永</t>
  </si>
  <si>
    <t>2007/09/07</t>
  </si>
  <si>
    <t>2009/03/11</t>
  </si>
  <si>
    <t>4.17</t>
  </si>
  <si>
    <t>12/402,349</t>
  </si>
  <si>
    <t>Method and apparatus for resource management in a wireless communication system</t>
  </si>
  <si>
    <t>Montojo; Juan|Luo; Tao|Zhang; Xiaoxia</t>
  </si>
  <si>
    <t>H04L1/0606</t>
  </si>
  <si>
    <t>CN200980110133.1</t>
  </si>
  <si>
    <t>无线通信系统中用于资源管理的方法和装置</t>
  </si>
  <si>
    <t>J·蒙托霍|罗涛|张晓霞</t>
  </si>
  <si>
    <t>J·蒙托霍</t>
  </si>
  <si>
    <t>CN200810168483.0</t>
  </si>
  <si>
    <t>确定随机接入信道数量的方法及测量参考信号的发送方法</t>
  </si>
  <si>
    <t>郝  鹏|戴  博|梁春丽|喻  斌</t>
  </si>
  <si>
    <t>3.95</t>
  </si>
  <si>
    <t>13/290,979</t>
  </si>
  <si>
    <t>Method and apparatus for improving uplink transmission mode configuration</t>
  </si>
  <si>
    <t>2010/11/09</t>
  </si>
  <si>
    <t>CN201280041088.0</t>
  </si>
  <si>
    <t>增强探测参考信号（SRS）</t>
  </si>
  <si>
    <t>张晓霞|W·陈|J·蒙托霍</t>
  </si>
  <si>
    <t>2016/08/24</t>
  </si>
  <si>
    <t>CN200810212377.8</t>
  </si>
  <si>
    <t>秩指示信息的发送方法和装置</t>
  </si>
  <si>
    <t>戴  博|卢科学|郝  鹏|梁春丽|张禹强</t>
  </si>
  <si>
    <t>5.18</t>
  </si>
  <si>
    <t>12/917,397</t>
  </si>
  <si>
    <t>Apparatus and method for joint encoding of user specific reference signal information in wireless communication</t>
  </si>
  <si>
    <t>Farajidana; Amir|Gorokhov; Alexei Yurievitch|Montojo; Juan|Geirhofer; Stefan</t>
  </si>
  <si>
    <t>Farajidana; Amir</t>
  </si>
  <si>
    <t>2010/11/01</t>
  </si>
  <si>
    <t>US2010/055159</t>
  </si>
  <si>
    <t>高通|FARAJIDANA,Amir|GOROKHOV,Alexei Yurievitch|MONTOJO,Juan|GEIRHOFER,Stefan</t>
  </si>
  <si>
    <t>高通|farajidana amir|gorokhov alexei yurievitch|montojo juan|geirhofer stefan</t>
  </si>
  <si>
    <t>FARAJIDANA,Amir|GOROKHOV,Alexei Yurievitch|MONTOJO,Juan|GEIRHOFER,Stefan</t>
  </si>
  <si>
    <t>FARAJIDANA,Amir</t>
  </si>
  <si>
    <t>CN200710141462.5</t>
  </si>
  <si>
    <t>一种移动通信系统中的切换方法</t>
  </si>
  <si>
    <t>李  姣</t>
  </si>
  <si>
    <t>2007/08/19</t>
  </si>
  <si>
    <t>11.73</t>
  </si>
  <si>
    <t>12/909,723</t>
  </si>
  <si>
    <t>Facilitating uplink synchronization in TD-SCDMA multi-carrier systems</t>
  </si>
  <si>
    <t>2010/04/07</t>
  </si>
  <si>
    <t>2010/10/21</t>
  </si>
  <si>
    <t>H04B1/7087</t>
  </si>
  <si>
    <t>CN201180000195.4</t>
  </si>
  <si>
    <t>促进TD-SCDMA多载波系统中的上行链路同步</t>
  </si>
  <si>
    <t>2014/08/20</t>
  </si>
  <si>
    <t>CN200810210468.8</t>
  </si>
  <si>
    <t>虚拟专网的数据报文转发方法</t>
  </si>
  <si>
    <t>张  伟</t>
  </si>
  <si>
    <t>2008/08/15</t>
  </si>
  <si>
    <t>H04L 12/46</t>
  </si>
  <si>
    <t>CN200810135392.7</t>
  </si>
  <si>
    <t>一种时分双工系统上行信道测量参考信号的发送方法</t>
  </si>
  <si>
    <t>郝  鹏|梁春丽|戴  博|夏树强|喻  斌</t>
  </si>
  <si>
    <t>2008/08/01</t>
  </si>
  <si>
    <t>H04Q  7/34</t>
  </si>
  <si>
    <t>12/772,714</t>
  </si>
  <si>
    <t>Transmission and reception of a reference signal supporting positioning in a wireless communication network</t>
  </si>
  <si>
    <t>Bachu; Raja Sekhar|Sampath; Ashwin</t>
  </si>
  <si>
    <t>Bachu; Raja Sekhar</t>
  </si>
  <si>
    <t>2009/05/08</t>
  </si>
  <si>
    <t>H04H  1/00</t>
  </si>
  <si>
    <t>CN201080020894.0</t>
  </si>
  <si>
    <t>无线通信网络中支持定位的参考信号的传送和接收</t>
  </si>
  <si>
    <t>R·S·巴楚|A·萨姆帕斯</t>
  </si>
  <si>
    <t>2016/06/29</t>
  </si>
  <si>
    <t>CN200710148454.3</t>
  </si>
  <si>
    <t>一种基于先进音频编码器的量化器码率失真控制方法</t>
  </si>
  <si>
    <t>吴  晟|邱小军|黎家力</t>
  </si>
  <si>
    <t>吴  晟</t>
  </si>
  <si>
    <t>2007/05/16</t>
  </si>
  <si>
    <t>2007/08/21</t>
  </si>
  <si>
    <t>2008/11/19</t>
  </si>
  <si>
    <t>G10L</t>
  </si>
  <si>
    <t>G10L 19/04</t>
  </si>
  <si>
    <t>12/698,534</t>
  </si>
  <si>
    <t>Audio and speech processing with optimal bit-allocation for constant bit rate  applications</t>
  </si>
  <si>
    <t>Majumdar; Somdeb|Fazeldehkordi; Amin|Garudadri; Harinath</t>
  </si>
  <si>
    <t>Majumdar; Somdeb</t>
  </si>
  <si>
    <t>2010/02/02</t>
  </si>
  <si>
    <t>G10L 19/12</t>
  </si>
  <si>
    <t>G10L19/002</t>
  </si>
  <si>
    <t>CN201080058579.7</t>
  </si>
  <si>
    <t>针对恒定的比特率应用的具有最佳比特分配的音频和语音处理</t>
  </si>
  <si>
    <t>S·马宗达|A·法泽勒德库尔迪|H·加鲁达德里</t>
  </si>
  <si>
    <t>S·马宗达</t>
  </si>
  <si>
    <t>2014/09/03</t>
  </si>
  <si>
    <t>G10L 19/002</t>
  </si>
  <si>
    <t>CN200810098297.4</t>
  </si>
  <si>
    <t>一种更新终端的内部用户组列表的方法</t>
  </si>
  <si>
    <t>孙  扬</t>
  </si>
  <si>
    <t>2008/06/03</t>
  </si>
  <si>
    <t>53.24</t>
  </si>
  <si>
    <t>12/695,043</t>
  </si>
  <si>
    <t>CSG membership indication</t>
  </si>
  <si>
    <t>Horn; Gavin B.|Song; Osok|Agashe; Parag A.|Pandit; Krishna S.</t>
  </si>
  <si>
    <t>2009/01/30</t>
  </si>
  <si>
    <t>H04L63/104</t>
  </si>
  <si>
    <t>CN201080007127.6</t>
  </si>
  <si>
    <t>管理对封闭用户组的接入控制</t>
  </si>
  <si>
    <t>G·B·霍恩|O·宋|R·苏布拉马尼安|P·A·阿加什|D·辛格|M·格里奥</t>
  </si>
  <si>
    <t>2010/02/09</t>
  </si>
  <si>
    <t>CN200810100442.8</t>
  </si>
  <si>
    <t>分组数据网络的接入控制方法和系统、PCRF实体</t>
  </si>
  <si>
    <t>周晓云|宗在峰</t>
  </si>
  <si>
    <t>10.91</t>
  </si>
  <si>
    <t>13/670,362</t>
  </si>
  <si>
    <t>Performing packet flow optimization with policy and charging control</t>
  </si>
  <si>
    <t>Jin; Haipeng|Mahendran; Arungundram C.|Ahmavaara; Kalle</t>
  </si>
  <si>
    <t>2008/12/09</t>
  </si>
  <si>
    <t>H04L12/14</t>
  </si>
  <si>
    <t>CN200980149388.9</t>
  </si>
  <si>
    <t>利用策略和计费控制来执行分组流优化</t>
  </si>
  <si>
    <t>靳海鹏|A·C·马亨德兰|K·阿赫马瓦拉</t>
  </si>
  <si>
    <t>2016/05/18</t>
  </si>
  <si>
    <t>H04W  4/26</t>
  </si>
  <si>
    <t>CN200810100441.3</t>
  </si>
  <si>
    <t>移动管理实体、终端转移方法和系统</t>
  </si>
  <si>
    <t>孙  扬|刘  霖|王  静</t>
  </si>
  <si>
    <t>72.40</t>
  </si>
  <si>
    <t>12/761,209</t>
  </si>
  <si>
    <t>Systems, methods and devices to enable management of wireless network resources</t>
  </si>
  <si>
    <t>Horn; Gavin|Song; Osok</t>
  </si>
  <si>
    <t>Horn; Gavin</t>
  </si>
  <si>
    <t>H04W72/10</t>
  </si>
  <si>
    <t>CN200710100509.3</t>
  </si>
  <si>
    <t>一种共享中继系统中主从基站间负载均衡的方法</t>
  </si>
  <si>
    <t>刘巧艳|赵  路|余秋星</t>
  </si>
  <si>
    <t>刘巧艳</t>
  </si>
  <si>
    <t>2007/04/05</t>
  </si>
  <si>
    <t>12/786,972</t>
  </si>
  <si>
    <t>Dynamic selection of subframe formats in a wireless network</t>
  </si>
  <si>
    <t>Khandekar; Aamod Dinkar|Palanki; Ravi|Ji; Tingfang|Tenny; Nathan Edward</t>
  </si>
  <si>
    <t>H04W99/00</t>
  </si>
  <si>
    <t>CN201080022933.0</t>
  </si>
  <si>
    <t>无线网络中子帧格式的动态选择</t>
  </si>
  <si>
    <t>A·D·汉德卡尔|R·保兰基|季庭方|N·E·坦尼</t>
  </si>
  <si>
    <t>A·D·汉德卡尔</t>
  </si>
  <si>
    <t>2010/05/28</t>
  </si>
  <si>
    <t>2015/05/13</t>
  </si>
  <si>
    <t>CN200810096163.9</t>
  </si>
  <si>
    <t>一种节目预览方法及其装置</t>
  </si>
  <si>
    <t>韦  福</t>
  </si>
  <si>
    <t>H04H 60/16</t>
  </si>
  <si>
    <t>H04N7/24T4</t>
  </si>
  <si>
    <t>12/751,603</t>
  </si>
  <si>
    <t>System and method for coordinated sharing of media among wireless communication devices</t>
  </si>
  <si>
    <t>George; Thomas</t>
  </si>
  <si>
    <t>2009/04/07</t>
  </si>
  <si>
    <t>H04L65/4061</t>
  </si>
  <si>
    <t>CN201080014991.9</t>
  </si>
  <si>
    <t>用于无线通信装置间的对媒体的协调共享的系统和方法</t>
  </si>
  <si>
    <t>托马斯·乔治</t>
  </si>
  <si>
    <t>2015/03/18</t>
  </si>
  <si>
    <t>CN200810081847.1</t>
  </si>
  <si>
    <t>一种隐藏拜访地网络拓扑结构的策略计费控制的方法</t>
  </si>
  <si>
    <t>2008/05/08</t>
  </si>
  <si>
    <t>17.83</t>
  </si>
  <si>
    <t>CN200580051243.7</t>
  </si>
  <si>
    <t>一种以太网交换机自动拓扑发现方法</t>
  </si>
  <si>
    <t>曲延锋|胡  鹏|范成法</t>
  </si>
  <si>
    <t>曲延锋</t>
  </si>
  <si>
    <t>2005/12/30</t>
  </si>
  <si>
    <t>2008/07/23</t>
  </si>
  <si>
    <t>1.58</t>
  </si>
  <si>
    <t>13/599,715</t>
  </si>
  <si>
    <t>Topology discovery in a hybrid network</t>
  </si>
  <si>
    <t>Ho; Saiyiu Duncan|Mohanty; Bibhu Prasad|Cohen; Etan Gur|Malik; Rahul|Gellens; Randall Coleman|Kapoor; Rohit</t>
  </si>
  <si>
    <t>Ho; Saiyiu Duncan</t>
  </si>
  <si>
    <t>H04L41/12</t>
  </si>
  <si>
    <t>13/610,846</t>
  </si>
  <si>
    <t>Providing communication path information in a hybrid communication network</t>
  </si>
  <si>
    <t>Purkayastha; Punyaslok|Ho; Sai Yiu Duncan|Mohanty; Bibhu Prasad|Cohen; Etan Gur</t>
  </si>
  <si>
    <t>Purkayastha; Punyaslok</t>
  </si>
  <si>
    <t>2011/09/12</t>
  </si>
  <si>
    <t>G06F15/17306</t>
  </si>
  <si>
    <t>CN200610160619.4</t>
  </si>
  <si>
    <t>主从式多处理器系统以及软件版本加载方法</t>
  </si>
  <si>
    <t>王艳华|钟建兔|陈卫红|黄光霞</t>
  </si>
  <si>
    <t>王艳华</t>
  </si>
  <si>
    <t>2006/11/29</t>
  </si>
  <si>
    <t>2008/06/04</t>
  </si>
  <si>
    <t>G06F  9/445</t>
  </si>
  <si>
    <t>G06F9/445B</t>
  </si>
  <si>
    <t>15.17</t>
  </si>
  <si>
    <t>12/887,196</t>
  </si>
  <si>
    <t>Methods and apparatus for priority initialization of a second processor</t>
  </si>
  <si>
    <t>Avadhanam; Phani B.</t>
  </si>
  <si>
    <t>2009/11/13</t>
  </si>
  <si>
    <t>2015/01/20</t>
  </si>
  <si>
    <t>G06F  9/00</t>
  </si>
  <si>
    <t>G06F9/4403</t>
  </si>
  <si>
    <t>CN201080050302.X</t>
  </si>
  <si>
    <t>突发存取协议及第二处理器的优先初始化</t>
  </si>
  <si>
    <t>拉姆库马尔·桑帕斯库马尔|帕尼·B·阿瓦哈纳姆|西达尔斯·贾亚拉曼|迈克尔·贝利</t>
  </si>
  <si>
    <t>拉姆库马尔·桑帕斯库马尔</t>
  </si>
  <si>
    <t>CN200610138611.8</t>
  </si>
  <si>
    <t>增强混合自动重传请求指示信道的分配方法</t>
  </si>
  <si>
    <t>陈  慧|张银成</t>
  </si>
  <si>
    <t>2006/11/08</t>
  </si>
  <si>
    <t>5.74</t>
  </si>
  <si>
    <t>12/277,072</t>
  </si>
  <si>
    <t>System and method to implement synchronous channel timing in a wireless communications network</t>
  </si>
  <si>
    <t>Jia; Zhanfeng|Julian; David Jonathan</t>
  </si>
  <si>
    <t>Jia; Zhanfeng</t>
  </si>
  <si>
    <t>H04L1/1803</t>
  </si>
  <si>
    <t>CN200980146967.8</t>
  </si>
  <si>
    <t>用以在无线通信网络中实施同步信道计时的系统及方法</t>
  </si>
  <si>
    <t>贾展丰|戴维·乔纳森·朱利安</t>
  </si>
  <si>
    <t>贾展丰</t>
  </si>
  <si>
    <t>2009/11/20</t>
  </si>
  <si>
    <t>CN200610138085.5</t>
  </si>
  <si>
    <t>发射码域正交的导频信号的发送机及其发射方法</t>
  </si>
  <si>
    <t>张峻峰|郁光辉</t>
  </si>
  <si>
    <t>12/993,827</t>
  </si>
  <si>
    <t>Method and apparatus for sharing signals on a single channel</t>
  </si>
  <si>
    <t>Yu; Zhi-Zhong|Agarwal; Mukund</t>
  </si>
  <si>
    <t>Yu; Zhi-Zhong</t>
  </si>
  <si>
    <t>2009/08/15</t>
  </si>
  <si>
    <t>CN200980131639.0</t>
  </si>
  <si>
    <t>用于共享单个信道上的信号的方法和装置</t>
  </si>
  <si>
    <t>M·阿格拉沃尔|Z-Z·余</t>
  </si>
  <si>
    <t>M·阿格拉沃尔</t>
  </si>
  <si>
    <t>2014/10/15</t>
  </si>
  <si>
    <t>H04L 27/18</t>
  </si>
  <si>
    <t>CN200610150042.9</t>
  </si>
  <si>
    <t>一种基于MMSE的MLSE简化检测方法及其装置</t>
  </si>
  <si>
    <t>H04L27/26M5</t>
  </si>
  <si>
    <t>14/646,360</t>
  </si>
  <si>
    <t>Apparatus and methods for estimating optical Ethernet data sequences</t>
  </si>
  <si>
    <t>Zhang; Haitao|Huang; Yin|Li; Jian|Xue; Yisheng</t>
  </si>
  <si>
    <t>Zhang; Haitao</t>
  </si>
  <si>
    <t>2013/01/08</t>
  </si>
  <si>
    <t>H03H</t>
  </si>
  <si>
    <t>H03H  7/30</t>
  </si>
  <si>
    <t>H04L25/0212</t>
  </si>
  <si>
    <t>CN2013/070196</t>
  </si>
  <si>
    <t>Apparatus and methods for estimating optical ethernet data sequences</t>
  </si>
  <si>
    <t>高通|ZHANG,Haitao|HUANG,Yin|LI,Jian|XUE,Yisheng</t>
  </si>
  <si>
    <t>高通|zhang haitao|huang yin|li jian|xue yisheng</t>
  </si>
  <si>
    <t>ZHANG,Haitao|HUANG,Yin|LI,Jian|XUE,Yisheng</t>
  </si>
  <si>
    <t>ZHANG,Haitao</t>
  </si>
  <si>
    <t>CN200610152450.8</t>
  </si>
  <si>
    <t>基于随机接入信道的切换接入方法和装置</t>
  </si>
  <si>
    <t>杜忠达</t>
  </si>
  <si>
    <t>2008/04/02</t>
  </si>
  <si>
    <t>6.52</t>
  </si>
  <si>
    <t>CN200610152335.0</t>
  </si>
  <si>
    <t>一种双模手机应用的设计方法</t>
  </si>
  <si>
    <t>周  涌|徐强华</t>
  </si>
  <si>
    <t>周  涌</t>
  </si>
  <si>
    <t>2006/09/26</t>
  </si>
  <si>
    <t>12/324,660</t>
  </si>
  <si>
    <t>Disclosure of communication information</t>
  </si>
  <si>
    <t>Desai; Kushang|Maheshwari; Shailesh</t>
  </si>
  <si>
    <t>Desai; Kushang</t>
  </si>
  <si>
    <t>H04M  3/42</t>
  </si>
  <si>
    <t>H04M15/00</t>
  </si>
  <si>
    <t>CN201180027889.7</t>
  </si>
  <si>
    <t>用于管理运营商信息的设备和方法</t>
  </si>
  <si>
    <t>沙雷什·马赫什瓦利|库尚·德赛|马尼沙·索马尼</t>
  </si>
  <si>
    <t>沙雷什·马赫什瓦利</t>
  </si>
  <si>
    <t>H04M  1/725</t>
  </si>
  <si>
    <t>CN200710130408.0</t>
  </si>
  <si>
    <t>一种周期性能报告自动提取与记录装置</t>
  </si>
  <si>
    <t>朱励行|田  津|吕舒予|朱泽奇|黄  炜</t>
  </si>
  <si>
    <t>朱励行</t>
  </si>
  <si>
    <t>2007/03/06</t>
  </si>
  <si>
    <t>2007/07/18</t>
  </si>
  <si>
    <t>2008/03/19</t>
  </si>
  <si>
    <t>H04N7/66</t>
  </si>
  <si>
    <t>12/887,101</t>
  </si>
  <si>
    <t>System and method for transmtting and receiving signal with quasi-periodic pulse sequence</t>
  </si>
  <si>
    <t>Budianu; Petru Cristian|Shi; Jun|Julian; David Jonathan</t>
  </si>
  <si>
    <t>H04B1/7174</t>
  </si>
  <si>
    <t>14/250,259</t>
  </si>
  <si>
    <t>System and method for transmitting and receiving signal with quasi-periodic pulse sequence</t>
  </si>
  <si>
    <t>2014/04/10</t>
  </si>
  <si>
    <t>CN200710175902.9</t>
  </si>
  <si>
    <t>一种基于移动终端管理业务的定制信息推送系统及方法</t>
  </si>
  <si>
    <t>谢  曼|刘  轶</t>
  </si>
  <si>
    <t>谢  曼</t>
  </si>
  <si>
    <t>2007/10/15</t>
  </si>
  <si>
    <t>2008/03/12</t>
  </si>
  <si>
    <t>9.15</t>
  </si>
  <si>
    <t>CN2010/074582</t>
  </si>
  <si>
    <t>System and method for subscription data optimization</t>
  </si>
  <si>
    <t>高通|ZHU,Xipeng|PANDIT,Krishna S.|STUPAR,Patrick|GRANZOW,Wolfgang</t>
  </si>
  <si>
    <t>高通|zhu xipeng|pandit krishna s|stupar patrick|granzow wolfgang</t>
  </si>
  <si>
    <t>ZHU,Xipeng|PANDIT,Krishna S.|STUPAR,Patrick|GRANZOW,Wolfgang</t>
  </si>
  <si>
    <t>ZHU,Xipeng</t>
  </si>
  <si>
    <t>CN201080067747.9</t>
  </si>
  <si>
    <t>用于定制数据优化的系统和方法</t>
  </si>
  <si>
    <t>X·朱|K·S·潘迪特|P·斯图帕尔|W·格兰措</t>
  </si>
  <si>
    <t>X·朱</t>
  </si>
  <si>
    <t>CN200710142050.3</t>
  </si>
  <si>
    <t>同步动态存储器的读写方法和读写装置</t>
  </si>
  <si>
    <t>周  炼</t>
  </si>
  <si>
    <t>G11C</t>
  </si>
  <si>
    <t>G11C 11/409</t>
  </si>
  <si>
    <t>G06F3/06E</t>
  </si>
  <si>
    <t>3.0</t>
  </si>
  <si>
    <t>12/872,282</t>
  </si>
  <si>
    <t>Load balancing scheme in multiple channel DRAM systems</t>
  </si>
  <si>
    <t>Wang; Feng|Gu; Shiqun|Kim; Jonghae|Nowak; Matthew Michael</t>
  </si>
  <si>
    <t>Wang; Feng</t>
  </si>
  <si>
    <t>2010/08/31</t>
  </si>
  <si>
    <t>G06F 13/16</t>
  </si>
  <si>
    <t>G06F13/1647</t>
  </si>
  <si>
    <t>CN201180039039.9</t>
  </si>
  <si>
    <t>多通道DRAM系统中的负载平衡方案</t>
  </si>
  <si>
    <t>王风|顾时群|金郑海|马修·迈克尔·诺瓦克</t>
  </si>
  <si>
    <t>王风</t>
  </si>
  <si>
    <t>2016/03/30</t>
  </si>
  <si>
    <t>CN200710164236.9</t>
  </si>
  <si>
    <t>一种通过核心网控制终端接入家庭基站覆盖区域的方法</t>
  </si>
  <si>
    <t>2007/09/30</t>
  </si>
  <si>
    <t>68.13</t>
  </si>
  <si>
    <t>14/096,643</t>
  </si>
  <si>
    <t>Registration and access control in femto cell deployments</t>
  </si>
  <si>
    <t>Deshpande; Manoj Madhukar|Pica; Francesco|Horn; Gavin Bernard|Chen; Jen Mei|Song; Osok|Agashe; Parag Arun</t>
  </si>
  <si>
    <t>Deshpande; Manoj Madhukar</t>
  </si>
  <si>
    <t>2008/06/06</t>
  </si>
  <si>
    <t>2016/11/29</t>
  </si>
  <si>
    <t>CN200710162958.0</t>
  </si>
  <si>
    <t>上行实时分组业务传输方法</t>
  </si>
  <si>
    <t>张银成|芮  华|刘  虎|陈  慧</t>
  </si>
  <si>
    <t>张银成</t>
  </si>
  <si>
    <t>2007/09/28</t>
  </si>
  <si>
    <t>3.30</t>
  </si>
  <si>
    <t>12/403,327</t>
  </si>
  <si>
    <t>Dynamic assignment of ACK resource in a wireless communication system</t>
  </si>
  <si>
    <t>Damnjanovic; Aleksandar|Damnjanovic; Jelena M.|Montojo; Juan</t>
  </si>
  <si>
    <t>2008/03/28</t>
  </si>
  <si>
    <t>2009/03/12</t>
  </si>
  <si>
    <t>14/679,967</t>
  </si>
  <si>
    <t>Damnjanovic; Aleksandar|Damnjanovic; Jelena|Montojo; Juan</t>
  </si>
  <si>
    <t>2015/04/06</t>
  </si>
  <si>
    <t>2016/09/06</t>
  </si>
  <si>
    <t>CN200710103790.6</t>
  </si>
  <si>
    <t>一种性能告警系统及其性能门限的获取方法</t>
  </si>
  <si>
    <t>刘  静</t>
  </si>
  <si>
    <t>2007/05/30</t>
  </si>
  <si>
    <t>G05B</t>
  </si>
  <si>
    <t>G05B23/02</t>
  </si>
  <si>
    <t>8.91</t>
  </si>
  <si>
    <t>12/478,349</t>
  </si>
  <si>
    <t>System and method for facilitating capacity monitoring and recommending action for wireless networks</t>
  </si>
  <si>
    <t>Mittal; Mukesh K.|Patil; Sunil S.|Pica; Francesco|Chaudhuri; Kausik Ray|Syed; Umair Ahmed</t>
  </si>
  <si>
    <t>Mittal; Mukesh K.</t>
  </si>
  <si>
    <t>2008/11/14</t>
  </si>
  <si>
    <t>H04L43/16</t>
  </si>
  <si>
    <t>CN200980145247.X</t>
  </si>
  <si>
    <t>为无线网络进行容量监测并且推荐措施的系统和方法</t>
  </si>
  <si>
    <t>M·K·米塔尔|S·S·帕蒂尔|F·皮卡|K·R·乔杜里|U·A·赛义德</t>
  </si>
  <si>
    <t>M·K·米塔尔</t>
  </si>
  <si>
    <t>2009/11/16</t>
  </si>
  <si>
    <t>CN200710002803.0</t>
  </si>
  <si>
    <t>一种组合换频切换判决方法</t>
  </si>
  <si>
    <t>陆  婷|张海龙|黄凯东|罗雪松</t>
  </si>
  <si>
    <t>陆  婷</t>
  </si>
  <si>
    <t>1.92</t>
  </si>
  <si>
    <t>12/782,948</t>
  </si>
  <si>
    <t>Maintaining an allocation of antennas at an access terminal during a communication session within a wireless communications system</t>
  </si>
  <si>
    <t>Ananthanarayanan; Arulmozhi K.|Song; Bongyong|Patel; Biren R.</t>
  </si>
  <si>
    <t>Ananthanarayanan; Arulmozhi K.</t>
  </si>
  <si>
    <t>2009/05/22</t>
  </si>
  <si>
    <t>2010/05/19</t>
  </si>
  <si>
    <t>CN201080022347.6</t>
  </si>
  <si>
    <t>在无线通信系统内的通信会话期间维持接入终端处天线的分配</t>
  </si>
  <si>
    <t>阿鲁摩知·K·阿南塔纳拉亚南|宋伯扬|比伦·R·帕特尔</t>
  </si>
  <si>
    <t>阿鲁摩知·K·阿南塔纳拉亚南</t>
  </si>
  <si>
    <t>2010/05/20</t>
  </si>
  <si>
    <t>CN200710152091.0</t>
  </si>
  <si>
    <t>一种自动控制小区干扰的方法</t>
  </si>
  <si>
    <t>高  音</t>
  </si>
  <si>
    <t>12/761,189</t>
  </si>
  <si>
    <t>Method and apparatus for generating and exchanging information for coverage optimization in wireless networks</t>
  </si>
  <si>
    <t>Catovic; Amer|De Angelis; Flavio</t>
  </si>
  <si>
    <t>Catovic; Amer</t>
  </si>
  <si>
    <t>12/858,139</t>
  </si>
  <si>
    <t>Apparatus and method for controlling inter-cell interference between femtocells and macrocells</t>
  </si>
  <si>
    <t>Damnjanovic; Aleksandar|Vajapeyam; Madhavan S.</t>
  </si>
  <si>
    <t>H04W52/367</t>
  </si>
  <si>
    <t>CN200710152088.9</t>
  </si>
  <si>
    <t>一种无线接入参数自动优化的方法</t>
  </si>
  <si>
    <t>3.22</t>
  </si>
  <si>
    <t>12/393,648</t>
  </si>
  <si>
    <t>Access channel load management in a wireless communication system</t>
  </si>
  <si>
    <t>Rezaiifar; Ramin</t>
  </si>
  <si>
    <t>2009/02/26</t>
  </si>
  <si>
    <t>CN200710147026.9</t>
  </si>
  <si>
    <t>TD－SCDMA系统中搜索下行导频时隙的方法</t>
  </si>
  <si>
    <t>曾文琪</t>
  </si>
  <si>
    <t>2007/08/10</t>
  </si>
  <si>
    <t>2008/01/16</t>
  </si>
  <si>
    <t>13/511,998</t>
  </si>
  <si>
    <t>Apparatus and method of inter-radio access technology searching</t>
  </si>
  <si>
    <t>Khandekar; Aamod Dinkar|Hou; Jilei|Chen; Qingxin|Zhu; Xipeng|Zhang; Jianqiang</t>
  </si>
  <si>
    <t>CN2011/075857</t>
  </si>
  <si>
    <t>高通|KHANDEKAR,Aamod Dinkar|HOU,Jilei|CHEN,Qingxin|ZHU,Xipeng|ZHANG,Jianqiang</t>
  </si>
  <si>
    <t>高通|khandekar aamod dinkar|hou jilei|chen qingxin|zhu xipeng|zhang jianqiang</t>
  </si>
  <si>
    <t>KHANDEKAR,Aamod Dinkar|HOU,Jilei|CHEN,Qingxin|ZHU,Xipeng|ZHANG,Jianqiang</t>
  </si>
  <si>
    <t>CN200710128971.4</t>
  </si>
  <si>
    <t>一种瑞克接收方法和装置</t>
  </si>
  <si>
    <t>周  坤</t>
  </si>
  <si>
    <t>2007/07/27</t>
  </si>
  <si>
    <t>12/405,082</t>
  </si>
  <si>
    <t>Broadband pilot channel estimation using a reduced order FFT and a hardware interpolator</t>
  </si>
  <si>
    <t>Budianu; Petru Cristian|Chaudhuri; Arunava|Challa; Raghu N.</t>
  </si>
  <si>
    <t>2009/03/16</t>
  </si>
  <si>
    <t>H04J  1/02</t>
  </si>
  <si>
    <t>H04B1/76</t>
  </si>
  <si>
    <t>CN200980111448.8</t>
  </si>
  <si>
    <t>使用降阶的FFT和硬件内插器的宽带导频信道估计</t>
  </si>
  <si>
    <t>P·C·布迪亚努|A·乔杜里|R·N·沙拉</t>
  </si>
  <si>
    <t>CN200610082964.0</t>
  </si>
  <si>
    <t>一种对用户进行移动性管理的数字集群系统及方法</t>
  </si>
  <si>
    <t>黄  敏|刘  虎|张银成|马志锋</t>
  </si>
  <si>
    <t>黄  敏</t>
  </si>
  <si>
    <t>1.98</t>
  </si>
  <si>
    <t>14/090,370</t>
  </si>
  <si>
    <t>User device dormancy</t>
  </si>
  <si>
    <t>Patil; Kiran|Sanka; Suresh|Krishnamoorthy; Sathish</t>
  </si>
  <si>
    <t>Patil; Kiran</t>
  </si>
  <si>
    <t>2013/11/26</t>
  </si>
  <si>
    <t>CN201180036070.7</t>
  </si>
  <si>
    <t>用户设备休眠</t>
  </si>
  <si>
    <t>K·K·帕蒂尔|S·桑卡|S·克里什纳穆尔蒂</t>
  </si>
  <si>
    <t>K·K·帕蒂尔</t>
  </si>
  <si>
    <t>2011/07/22</t>
  </si>
  <si>
    <t>H04W 76/06</t>
  </si>
  <si>
    <t>CN200620120970.6</t>
  </si>
  <si>
    <t>一种对输入信号估计信道的设备</t>
  </si>
  <si>
    <t>张长风</t>
  </si>
  <si>
    <t>2006/09/22</t>
  </si>
  <si>
    <t>2007/12/05</t>
  </si>
  <si>
    <t>H04L1/06T</t>
  </si>
  <si>
    <t>0.93</t>
  </si>
  <si>
    <t>13/425,351</t>
  </si>
  <si>
    <t>Multidimensional constellations for coded transmission</t>
  </si>
  <si>
    <t>Chrabieh; Rabih|Dural; Ozgur</t>
  </si>
  <si>
    <t>Chrabieh; Rabih</t>
  </si>
  <si>
    <t>2008/03/31</t>
  </si>
  <si>
    <t>2012/03/20</t>
  </si>
  <si>
    <t>12/413,262</t>
  </si>
  <si>
    <t>CN200620062203.4</t>
  </si>
  <si>
    <t>一种射频接收机</t>
  </si>
  <si>
    <t>李  明</t>
  </si>
  <si>
    <t>2006/07/21</t>
  </si>
  <si>
    <t>H04B  1/06</t>
  </si>
  <si>
    <t>H03D7/16B1</t>
  </si>
  <si>
    <t>12/366,441</t>
  </si>
  <si>
    <t>Dynamic reference frequency for fractional-N Phase-Locked Loop</t>
  </si>
  <si>
    <t>Ciccarelli; Steven C.|Bossu; Frederic|Aparin; Vladimir|Wang; Kevin H.</t>
  </si>
  <si>
    <t>Ciccarelli; Steven C.</t>
  </si>
  <si>
    <t>2008/02/29</t>
  </si>
  <si>
    <t>H04B  1/40</t>
  </si>
  <si>
    <t>H03L</t>
  </si>
  <si>
    <t>H03L7/1974</t>
  </si>
  <si>
    <t>CN200980106777.3</t>
  </si>
  <si>
    <t>用于分数-N型锁相环的动态参考频率</t>
  </si>
  <si>
    <t>斯蒂文·C·奇卡雷利|弗雷德里克·波苏|维阿迪米尔·阿帕林|凯文·H·王</t>
  </si>
  <si>
    <t>斯蒂文·C·奇卡雷利</t>
  </si>
  <si>
    <t>H03L  7/197</t>
  </si>
  <si>
    <t>CN200610011900.1</t>
  </si>
  <si>
    <t>一种多入多出正交频分复用系统的信道估计方法</t>
  </si>
  <si>
    <t>余秋星|张学林|刘巧艳|王衍文</t>
  </si>
  <si>
    <t>余秋星</t>
  </si>
  <si>
    <t>2006/05/15</t>
  </si>
  <si>
    <t>2.4</t>
  </si>
  <si>
    <t>CN200710119021.5</t>
  </si>
  <si>
    <t>基于终端管理业务的学生终端配置方法和系统</t>
  </si>
  <si>
    <t>刘  轶|赵  静|周  果</t>
  </si>
  <si>
    <t>刘  轶</t>
  </si>
  <si>
    <t>2007/06/18</t>
  </si>
  <si>
    <t>2007/11/07</t>
  </si>
  <si>
    <t>12/398,047</t>
  </si>
  <si>
    <t>Systems and methods for controlling operation of a mobile station</t>
  </si>
  <si>
    <t>Bhatia; Ashok</t>
  </si>
  <si>
    <t>2013/04/02</t>
  </si>
  <si>
    <t>H04M1/72525</t>
  </si>
  <si>
    <t>CN201080010820.9</t>
  </si>
  <si>
    <t>用于控制移动站的操作的系统和方法</t>
  </si>
  <si>
    <t>A·巴蒂亚</t>
  </si>
  <si>
    <t>CN200610078669.8</t>
  </si>
  <si>
    <t>移动通讯系统基站间上行随机信道或共享信道的切换方法</t>
  </si>
  <si>
    <t>18.26</t>
  </si>
  <si>
    <t>12/337,383</t>
  </si>
  <si>
    <t>Method and apparatus for transfer of a message on a common control channel for random access in a wireless communication network</t>
  </si>
  <si>
    <t>Kitazoe; Masato|Meylan; Arnaud</t>
  </si>
  <si>
    <t>Kitazoe; Masato</t>
  </si>
  <si>
    <t>H04J  3/02</t>
  </si>
  <si>
    <t>CN200880121391.5</t>
  </si>
  <si>
    <t>用于在无线通信网络中在公共控制信道上传送消息以进行随机接入的方法和装置</t>
  </si>
  <si>
    <t>M·北添|A·梅朗</t>
  </si>
  <si>
    <t>M·北添</t>
  </si>
  <si>
    <t>2008/12/19</t>
  </si>
  <si>
    <t>2016/04/27</t>
  </si>
  <si>
    <t>CN200610072341.5</t>
  </si>
  <si>
    <t>无线网络信息提供方法</t>
  </si>
  <si>
    <t>刁心玺|宁录游</t>
  </si>
  <si>
    <t>刁心玺</t>
  </si>
  <si>
    <t>2006/04/14</t>
  </si>
  <si>
    <t>H04L 12/58</t>
  </si>
  <si>
    <t>3.67</t>
  </si>
  <si>
    <t>12/569,748</t>
  </si>
  <si>
    <t>Methods and apparatus for obtaining integrated content from multiple networks</t>
  </si>
  <si>
    <t>Deshpande; Manoj M.|Fan; Michael M.|Martin; Roger W.</t>
  </si>
  <si>
    <t>Deshpande; Manoj M.</t>
  </si>
  <si>
    <t>2009/09/29</t>
  </si>
  <si>
    <t>H04W4/02</t>
  </si>
  <si>
    <t>CN201080041616.3</t>
  </si>
  <si>
    <t>从多个网络获得整合内容的方法与设备</t>
  </si>
  <si>
    <t>马诺杰·M·德什潘德|迈克尔·M·法恩|罗杰·W·马丁</t>
  </si>
  <si>
    <t>马诺杰·M·德什潘德</t>
  </si>
  <si>
    <t>2010/09/28</t>
  </si>
  <si>
    <t>CN200610067088.4</t>
  </si>
  <si>
    <t>移动通信系统中的用户终端切换控制方法</t>
  </si>
  <si>
    <t>席光清|黄  明</t>
  </si>
  <si>
    <t>席光清</t>
  </si>
  <si>
    <t>2006/04/04</t>
  </si>
  <si>
    <t>2007/10/10</t>
  </si>
  <si>
    <t>18.3</t>
  </si>
  <si>
    <t>12/035,394</t>
  </si>
  <si>
    <t>Signal quality estimation for OFDMA systems</t>
  </si>
  <si>
    <t>Park; Jong Hyeon|Kim; Je Woo</t>
  </si>
  <si>
    <t>2008/02/21</t>
  </si>
  <si>
    <t>H04L1/20</t>
  </si>
  <si>
    <t>CN200880127322.5</t>
  </si>
  <si>
    <t>用于OFDMA系统的信号质量估计</t>
  </si>
  <si>
    <t>J·H·朴|J·W·金</t>
  </si>
  <si>
    <t>J·H·朴</t>
  </si>
  <si>
    <t>2013/08/28</t>
  </si>
  <si>
    <t>CN200710080382.3</t>
  </si>
  <si>
    <t>一种接收机和接收方法</t>
  </si>
  <si>
    <t>肖  琨|龙  航|赵  慧|王文博</t>
  </si>
  <si>
    <t>肖  琨</t>
  </si>
  <si>
    <t>2007/03/08</t>
  </si>
  <si>
    <t>2.21</t>
  </si>
  <si>
    <t>12/408,603</t>
  </si>
  <si>
    <t>Hardware engine to demod SIMO, MIMO, and SDMA signals</t>
  </si>
  <si>
    <t>Challa; Raghu N.|Sampath; Hemanth|Barriac; Gwendolyn D.</t>
  </si>
  <si>
    <t>Challa; Raghu N.</t>
  </si>
  <si>
    <t>H04L25/03019</t>
  </si>
  <si>
    <t>CN200980107031.4</t>
  </si>
  <si>
    <t>用于解调SIMO、MIMO和SDMA信号的硬件引擎</t>
  </si>
  <si>
    <t>R·N·查拉|H·萨姆帕斯|G·D·巴里克</t>
  </si>
  <si>
    <t>R·N·查拉</t>
  </si>
  <si>
    <t>2009/03/26</t>
  </si>
  <si>
    <t>2014/10/22</t>
  </si>
  <si>
    <t>CN200610002235.X</t>
  </si>
  <si>
    <t>自动重传请求的状态报告方法</t>
  </si>
  <si>
    <t>2006/01/24</t>
  </si>
  <si>
    <t>12/240,178</t>
  </si>
  <si>
    <t>Acknowledge mode polling with immediate status report timing</t>
  </si>
  <si>
    <t>2013/04/16</t>
  </si>
  <si>
    <t>H04L1/1685</t>
  </si>
  <si>
    <t>13/743,797</t>
  </si>
  <si>
    <t>Devices for redundant frame coding and decoding</t>
  </si>
  <si>
    <t>Rajendran; Vivek|Krishnan; Venkatesh</t>
  </si>
  <si>
    <t>Rajendran; Vivek</t>
  </si>
  <si>
    <t>2012/01/20</t>
  </si>
  <si>
    <t>G10L 21/02</t>
  </si>
  <si>
    <t>G10L19/00</t>
  </si>
  <si>
    <t>CN200510069124.6</t>
  </si>
  <si>
    <t>一种无线群组呼叫方法</t>
  </si>
  <si>
    <t>朱晓光</t>
  </si>
  <si>
    <t>2005/05/11</t>
  </si>
  <si>
    <t>2006/11/15</t>
  </si>
  <si>
    <t>H04Q7/38L</t>
  </si>
  <si>
    <t>12/133,681</t>
  </si>
  <si>
    <t>System and method for minimizing call setup latency in a group communication among wireless communication devices</t>
  </si>
  <si>
    <t>Savarkar; Gautam|Bhatt; Devang|Balu; Karthik|Verma; Rajan</t>
  </si>
  <si>
    <t>Savarkar; Gautam</t>
  </si>
  <si>
    <t>2008/06/05</t>
  </si>
  <si>
    <t>CN200980120724.7</t>
  </si>
  <si>
    <t>用于使无线通信装置间的群组通信中的呼叫设置等待时间减到最少的系统和方法</t>
  </si>
  <si>
    <t>高塔姆·萨瓦卡尔|德旺·巴特|卡斯柯·巴吕|拉詹·维尔马</t>
  </si>
  <si>
    <t>高塔姆·萨瓦卡尔</t>
  </si>
  <si>
    <t>CN200510109115.5</t>
  </si>
  <si>
    <t>支持多载波高速下行分组接入的数据并行调度系统及方法</t>
  </si>
  <si>
    <t>杨学君</t>
  </si>
  <si>
    <t>2005/10/18</t>
  </si>
  <si>
    <t>2006/03/15</t>
  </si>
  <si>
    <t>6.76</t>
  </si>
  <si>
    <t>12/361,773</t>
  </si>
  <si>
    <t>Method and apparatus for extended reverse direction grant in a wireless local area network (WLAN)</t>
  </si>
  <si>
    <t>Sridhara; Vinay|Nanda; Sanjiv|Abraham; Santosh P.|Kandala; Srinivas</t>
  </si>
  <si>
    <t>Sridhara; Vinay</t>
  </si>
  <si>
    <t>2009/01/29</t>
  </si>
  <si>
    <t>H04W 74/06</t>
  </si>
  <si>
    <t>CN201080016584.1</t>
  </si>
  <si>
    <t>多载波系统中的无线链路控制</t>
  </si>
  <si>
    <t>A·戈尔米|D·张|S·D·桑布瓦尼|R·卡普尔|侯纪磊|B·P·莫汉蒂|O·厄兹蒂尔克|A·巴拉德瓦杰|H·李</t>
  </si>
  <si>
    <t>CN200410070166.7</t>
  </si>
  <si>
    <t>码分多址系统随机接入前导检测动态门限方法</t>
  </si>
  <si>
    <t>万里龙|任震|丁杰伟</t>
  </si>
  <si>
    <t>万里龙</t>
  </si>
  <si>
    <t>2004/08/04</t>
  </si>
  <si>
    <t>2006/02/08</t>
  </si>
  <si>
    <t>7.19</t>
  </si>
  <si>
    <t>13/407,052</t>
  </si>
  <si>
    <t>Resource allocation for enhanced uplink using an acquisition indicator channel</t>
  </si>
  <si>
    <t>Sambhwani; Sharad Deepak|Montojo; Juan|Zeng; Wei</t>
  </si>
  <si>
    <t>2012/02/28</t>
  </si>
  <si>
    <t>2013/12/10</t>
  </si>
  <si>
    <t>CN200880123874.9</t>
  </si>
  <si>
    <t>使用捕获指示符信道的对于增强型上行链路的资源分配</t>
  </si>
  <si>
    <t>S·D·桑布瓦尼|J·蒙托霍|W·曾</t>
  </si>
  <si>
    <t>S·D·桑布瓦尼</t>
  </si>
  <si>
    <t>2008/12/30</t>
  </si>
  <si>
    <t>2014/12/10</t>
  </si>
  <si>
    <t>CN200510090607.4</t>
  </si>
  <si>
    <t>TD－SCDMA系统中多载波小区配置高速下行共享信道的方法</t>
  </si>
  <si>
    <t>马子江|马志锋|张银成|杨学君</t>
  </si>
  <si>
    <t>2005/08/17</t>
  </si>
  <si>
    <t>2006/01/11</t>
  </si>
  <si>
    <t>CN200410062461.8</t>
  </si>
  <si>
    <t>TD－SCDMA系统辅载频信号质量评估及载频选择方法</t>
  </si>
  <si>
    <t>范伟飞|马子江|张银成</t>
  </si>
  <si>
    <t>范伟飞</t>
  </si>
  <si>
    <t>2004/07/09</t>
  </si>
  <si>
    <t>15.86</t>
  </si>
  <si>
    <t>CN03139735.2</t>
  </si>
  <si>
    <t>CDMA2000制式集群通信系统的基站资源分配方法</t>
  </si>
  <si>
    <t>刘金龙|薛育红</t>
  </si>
  <si>
    <t>刘金龙</t>
  </si>
  <si>
    <t>2003/07/04</t>
  </si>
  <si>
    <t>2005/01/19</t>
  </si>
  <si>
    <t>H04J 13/02</t>
  </si>
  <si>
    <t>12/438,039</t>
  </si>
  <si>
    <t>Predictive QoS resource allocation for rapid session establishment</t>
  </si>
  <si>
    <t>Gill; Harleen K.|Ananthanarayanan; Arulmozhi K.|Santhanam; Arvind V.</t>
  </si>
  <si>
    <t>Gill; Harleen K.</t>
  </si>
  <si>
    <t>2006/09/28</t>
  </si>
  <si>
    <t>CN201110291534.0</t>
  </si>
  <si>
    <t>用于快速会话建立的预测性服务质量资源分配</t>
  </si>
  <si>
    <t>哈林·K·吉尔|阿鲁莫之·卡西·阿南塔纳拉亚南|阿尔温德·瓦达拉简·桑塔南</t>
  </si>
  <si>
    <t>哈林·K·吉尔</t>
  </si>
  <si>
    <t>2015/05/06</t>
  </si>
  <si>
    <t>H04W 28/24</t>
  </si>
  <si>
    <t>CN200410030804.2</t>
  </si>
  <si>
    <t>电信信令消息穿越私网边界传递的系统和方法</t>
  </si>
  <si>
    <t>奚敏|孙洁</t>
  </si>
  <si>
    <t>奚敏</t>
  </si>
  <si>
    <t>2004/04/06</t>
  </si>
  <si>
    <t>2005/01/12</t>
  </si>
  <si>
    <t>H04L29/12A</t>
  </si>
  <si>
    <t>12/365,592</t>
  </si>
  <si>
    <t>Policy control for encapsulated data flows</t>
  </si>
  <si>
    <t>Ahmavaara; Kalle I.|Giaretta; Gerardo|Casaccia; Lorenzo|Tsirtsis; Georgios</t>
  </si>
  <si>
    <t>H04L 29/00</t>
  </si>
  <si>
    <t>CN200980104468.2</t>
  </si>
  <si>
    <t>针对封装的数据流的策略控制</t>
  </si>
  <si>
    <t>K·I·阿赫马瓦拉|G·贾雷塔|L·卡萨恰|G·齐尔特西斯</t>
  </si>
  <si>
    <t>K·I·阿赫马瓦拉</t>
  </si>
  <si>
    <t>CN03131825.8</t>
  </si>
  <si>
    <t>实现CDMA邻区列表的自动优化方法</t>
  </si>
  <si>
    <t>吴岩巍</t>
  </si>
  <si>
    <t>2003/06/05</t>
  </si>
  <si>
    <t>2004/12/08</t>
  </si>
  <si>
    <t>24.82</t>
  </si>
  <si>
    <t>12/414,395</t>
  </si>
  <si>
    <t>Method and system for facilitating execution of automatic neighbor relation functions</t>
  </si>
  <si>
    <t>Flore; Oronzo|Catovic; Amer|Song; Osok</t>
  </si>
  <si>
    <t>Flore; Oronzo</t>
  </si>
  <si>
    <t>2009/03/30</t>
  </si>
  <si>
    <t>CN200980110434.4</t>
  </si>
  <si>
    <t>用于促进自动邻区关系功能的执行的系统和方法</t>
  </si>
  <si>
    <t>奥龙佐·弗洛尔|阿梅尔·查托维奇|宋瓯寿</t>
  </si>
  <si>
    <t>奥龙佐·弗洛尔</t>
  </si>
  <si>
    <t>2013/08/07</t>
  </si>
  <si>
    <t>CN200310101811.2</t>
  </si>
  <si>
    <t>H.323会议电视系统中视频数据网络抖动消除方法</t>
  </si>
  <si>
    <t>吕远</t>
  </si>
  <si>
    <t>2003/10/17</t>
  </si>
  <si>
    <t>2004/09/15</t>
  </si>
  <si>
    <t>H04N  7/15</t>
  </si>
  <si>
    <t>H04N7/24T6</t>
  </si>
  <si>
    <t>11.71</t>
  </si>
  <si>
    <t>11/561,299</t>
  </si>
  <si>
    <t>Solving IP buffering delays in mobile multimedia applications with translayer optimization</t>
  </si>
  <si>
    <t>Walker; Gordon Kent|Bennett; Christopher John|Chen; An Mei</t>
  </si>
  <si>
    <t>2006/11/17</t>
  </si>
  <si>
    <t>H04L65/605</t>
  </si>
  <si>
    <t>CN200880129707.5</t>
  </si>
  <si>
    <t>用于在通信系统中提供修改的时戳的方法和设备</t>
  </si>
  <si>
    <t>穆罕默德·亚武兹|马修·S·格罗布|彼得·J·布莱克|罗希特·卡普尔|斯平多拉·迪亚兹</t>
  </si>
  <si>
    <t>穆罕默德·亚武兹</t>
  </si>
  <si>
    <t>2008/08/11</t>
  </si>
  <si>
    <t>CN03146881.0</t>
  </si>
  <si>
    <t>多处理器系统及其共享引导模块的方法</t>
  </si>
  <si>
    <t>赵凯|陈诗军|苏绣江|黄钟琪</t>
  </si>
  <si>
    <t>赵凯</t>
  </si>
  <si>
    <t>2003/09/17</t>
  </si>
  <si>
    <t>2004/09/01</t>
  </si>
  <si>
    <t>G06F13/28</t>
  </si>
  <si>
    <t>9.19</t>
  </si>
  <si>
    <t>CN02145023.4</t>
  </si>
  <si>
    <t>一种实时天线选择发射分集方法及装置</t>
  </si>
  <si>
    <t>陈华强|于宏全|徐敏</t>
  </si>
  <si>
    <t>陈华强</t>
  </si>
  <si>
    <t>2002/11/04</t>
  </si>
  <si>
    <t>2004/05/26</t>
  </si>
  <si>
    <t>H04Q  7/30</t>
  </si>
  <si>
    <t>H04B7/005B4D2</t>
  </si>
  <si>
    <t>17.91</t>
  </si>
  <si>
    <t>12/695,921</t>
  </si>
  <si>
    <t>Apparatus and method for antenna switching diversity in an OFDM system</t>
  </si>
  <si>
    <t>Li; Linbo|Mantravadi; Ashok</t>
  </si>
  <si>
    <t>Li; Linbo</t>
  </si>
  <si>
    <t>2009/02/01</t>
  </si>
  <si>
    <t>2010/01/28</t>
  </si>
  <si>
    <t>H04B  7/10</t>
  </si>
  <si>
    <t>H04B7/0805</t>
  </si>
  <si>
    <t>CN201080013675.X</t>
  </si>
  <si>
    <t>用于正交频分多路复用系统中的天线切换分集的设备与方法</t>
  </si>
  <si>
    <t>李林波|阿肖克·曼特拉瓦蒂</t>
  </si>
  <si>
    <t>李林波</t>
  </si>
  <si>
    <t>2015/03/04</t>
  </si>
  <si>
    <t>CN00127932.7</t>
  </si>
  <si>
    <t>一种宽带码分多址系统中的前导捕获方法及装置</t>
  </si>
  <si>
    <t>傅斌|莫毅群</t>
  </si>
  <si>
    <t>傅斌</t>
  </si>
  <si>
    <t>2000/12/19</t>
  </si>
  <si>
    <t>2002/07/24</t>
  </si>
  <si>
    <t>CN200880102659.0</t>
  </si>
  <si>
    <t>使用已知数据搜索多个正交信道----WCDMA步骤2搜索</t>
  </si>
  <si>
    <t>Y·李|P·苏布拉马尼亚|N·扎曼</t>
  </si>
  <si>
    <t>H04B  1/7073</t>
  </si>
  <si>
    <t>CN201310045758.2</t>
  </si>
  <si>
    <t>在宽带码分多址(WCDMA)系统中使用的装置、方法和移动终端</t>
  </si>
  <si>
    <t>H04B  1/7083</t>
  </si>
  <si>
    <t>CN00125697.1</t>
  </si>
  <si>
    <t>多载波软件无线电收发信机及其提高智能天线性能的方法</t>
  </si>
  <si>
    <t>陈尚文|赵建平|彭宏利|杜承法|甘志强</t>
  </si>
  <si>
    <t>陈尚文</t>
  </si>
  <si>
    <t>2000/10/12</t>
  </si>
  <si>
    <t>2002/05/15</t>
  </si>
  <si>
    <t>H04J 15/00</t>
  </si>
  <si>
    <t>18.75</t>
  </si>
  <si>
    <t>13/104,652</t>
  </si>
  <si>
    <t>Method and apparatus for management of multi-carrier communications in a wireless communication system</t>
  </si>
  <si>
    <t>Casaccia; Lorenzo|Malladi; Durga Prasad</t>
  </si>
  <si>
    <t>Casaccia; Lorenzo</t>
  </si>
  <si>
    <t>2005/04/04</t>
  </si>
  <si>
    <t>2011/05/10</t>
  </si>
  <si>
    <t>H04B7/0871</t>
  </si>
  <si>
    <t>CN201210079660.4</t>
  </si>
  <si>
    <t>用于管理无线通信系统中的多载波通信的方法和装置</t>
  </si>
  <si>
    <t>L·卡萨西亚|D·P·玛拉迪</t>
  </si>
  <si>
    <t>L·卡萨西亚</t>
  </si>
  <si>
    <t>CN00114058.2</t>
  </si>
  <si>
    <t>宽带码分多址系统中的自动频率控制方法及装置</t>
  </si>
  <si>
    <t>莫毅群|张军|王宇|唐万斌</t>
  </si>
  <si>
    <t>莫毅群</t>
  </si>
  <si>
    <t>2000/02/01</t>
  </si>
  <si>
    <t>2000/08/23</t>
  </si>
  <si>
    <t>15.90</t>
  </si>
  <si>
    <t>CN028222393</t>
  </si>
  <si>
    <t>CDMA通信系统中基于分集发送导频执行频率追踪的方法和装置</t>
  </si>
  <si>
    <t>P·萨布拉曼亚|A·杉多那里斯</t>
  </si>
  <si>
    <t>P·萨布拉曼亚</t>
  </si>
  <si>
    <t>2001/09/10</t>
  </si>
  <si>
    <t>2002/08/29</t>
  </si>
  <si>
    <t>2010/01/20</t>
  </si>
  <si>
    <t>CN201010002948.2</t>
  </si>
  <si>
    <t>H04L 27/233</t>
  </si>
  <si>
    <t>13/881,225</t>
  </si>
  <si>
    <t>Authentication routing system and method for cloud computing service and authentication router</t>
  </si>
  <si>
    <t>Lin; Zhaoji|Chen; Xiaohua</t>
  </si>
  <si>
    <t>Lin; Zhaoji</t>
  </si>
  <si>
    <t>2011/10/21</t>
  </si>
  <si>
    <t>2013/08/22</t>
  </si>
  <si>
    <t>13/655,395</t>
  </si>
  <si>
    <t>Network connected media gateway for communication networks</t>
  </si>
  <si>
    <t>Welsh; John Michael|Dunlap; Wayne G.|Menchaca; Benjamin M.</t>
  </si>
  <si>
    <t>Welsh; John Michael</t>
  </si>
  <si>
    <t>G06F 17/30</t>
  </si>
  <si>
    <t>13/655,399</t>
  </si>
  <si>
    <t>Cloud computing enhanced gateway for communication networks</t>
  </si>
  <si>
    <t>Dunlap; Wayne G.|Menchaca; Benjamin M.|Nowakowski; Ryan A.</t>
  </si>
  <si>
    <t>Dunlap; Wayne G.</t>
  </si>
  <si>
    <t>H04L47/2441</t>
  </si>
  <si>
    <t>13/817,117</t>
  </si>
  <si>
    <t>METHODS AND SYSTEMS FOR CSI-RS RESOURCE ALLOCATION IN LTE-ADVANCE SYSTEMS</t>
  </si>
  <si>
    <t>2013/08/15</t>
  </si>
  <si>
    <t>13/338,077</t>
  </si>
  <si>
    <t>Method and apparatus for signaling paging configurations and channel state information reference signal (CSI-RS) configurations</t>
  </si>
  <si>
    <t>2011/12/27</t>
  </si>
  <si>
    <t>H04J  3/14</t>
  </si>
  <si>
    <t>13/870,927</t>
  </si>
  <si>
    <t>Methods and apparatus for TDD reconfiguration</t>
  </si>
  <si>
    <t>2013/04/25</t>
  </si>
  <si>
    <t>13/578,572</t>
  </si>
  <si>
    <t>METHODS AND APPARATUS FOR NETWORK ENERGY SAVINGS IN A WIRELESS COMMUNICATION SYSTEM</t>
  </si>
  <si>
    <t>2010/02/16</t>
  </si>
  <si>
    <t>2011/02/16</t>
  </si>
  <si>
    <t>H04W52/0203</t>
  </si>
  <si>
    <t>2.62</t>
  </si>
  <si>
    <t>13/379,683</t>
  </si>
  <si>
    <t>Hybrid Automatic Repeat Request Combiner and Method for Storing Hybrid Automatic Repeat Request Data</t>
  </si>
  <si>
    <t>Tao; Jianping</t>
  </si>
  <si>
    <t>2010/10/19</t>
  </si>
  <si>
    <t>2013/02/14</t>
  </si>
  <si>
    <t>G06F 12/12</t>
  </si>
  <si>
    <t>13/580,459</t>
  </si>
  <si>
    <t>Location Method, Device and System for Secure User Plane Location Enabled Terminal</t>
  </si>
  <si>
    <t>Li; Hui|Shan; Liang</t>
  </si>
  <si>
    <t>Li; Hui</t>
  </si>
  <si>
    <t>2011/03/25</t>
  </si>
  <si>
    <t>2013/01/10</t>
  </si>
  <si>
    <t>14/319,476</t>
  </si>
  <si>
    <t>Method for determining location of wireless devices based on information within messages received from other network devices</t>
  </si>
  <si>
    <t>Lindskog; Erik|Wan; Hong</t>
  </si>
  <si>
    <t>Lindskog; Erik</t>
  </si>
  <si>
    <t>2014/06/30</t>
  </si>
  <si>
    <t>H04W4/023</t>
  </si>
  <si>
    <t>14/042,593</t>
  </si>
  <si>
    <t>Method and apparatus for configuring secure user plane location (SUPL) enabled terminals</t>
  </si>
  <si>
    <t>Edge, Jr.; Stephen William|Wachter; Andreas Klaus</t>
  </si>
  <si>
    <t>Edge, Jr.; Stephen William</t>
  </si>
  <si>
    <t>2013/01/14</t>
  </si>
  <si>
    <t>13/579,634</t>
  </si>
  <si>
    <t>METHOD AND SYSTEM FOR REPORTING MULTIMEDIA BROADCAST MULTICAST SERVICE MEASUREMENT</t>
  </si>
  <si>
    <t>He; Feng|Ai; Jianxun|Huang; Yada|Han; Lifeng</t>
  </si>
  <si>
    <t>He; Feng</t>
  </si>
  <si>
    <t>4.32</t>
  </si>
  <si>
    <t>13/802,618</t>
  </si>
  <si>
    <t>System and methods for determining opt in/opt out status of middleware reception reporting for eMBMS services</t>
  </si>
  <si>
    <t>Gupta; Chaitali|Gholmieh; Ralph A.|Naik; Nagaraju|Pazos; Carlos M. D.</t>
  </si>
  <si>
    <t>Gupta; Chaitali</t>
  </si>
  <si>
    <t>13/579,944</t>
  </si>
  <si>
    <t>Method for scheduling guaranteed bit rate service based on quality of service</t>
  </si>
  <si>
    <t>Shi; Xianwen|Yu; Yong|Lu; Tao</t>
  </si>
  <si>
    <t>Shi; Xianwen</t>
  </si>
  <si>
    <t>13/117,052</t>
  </si>
  <si>
    <t>Uplink data throttling by buffer status report (BSR) scaling</t>
  </si>
  <si>
    <t>Ehsan; Navid|Klingenbrunn; Thomas|Maheshwari; Shailesh|Nguyen; Bao Vinh|Xiao; Gang Andy|Anderson; Jon J.</t>
  </si>
  <si>
    <t>Ehsan; Navid</t>
  </si>
  <si>
    <t>G06F  3/00</t>
  </si>
  <si>
    <t>H04L47/263</t>
  </si>
  <si>
    <t>13/570,314</t>
  </si>
  <si>
    <t>Methods and apparatus for overload mitigation using uplink transmit power backoff</t>
  </si>
  <si>
    <t>Ehsan; Navid|Klingenbrunn; Thomas|Anderson; Jon James|Krishnamoorthi; Deepak|Xiao; Gang Andy|Gowda; Pradeep Sagane|Balasubramanian; Vijay|Ji; Zhu</t>
  </si>
  <si>
    <t>13/578,634</t>
  </si>
  <si>
    <t>Method and Apparatus for Offloading Internet Data in Access Network</t>
  </si>
  <si>
    <t>Tang; Delong|Yuan; Zhigui</t>
  </si>
  <si>
    <t>Tang; Delong</t>
  </si>
  <si>
    <t>1.10</t>
  </si>
  <si>
    <t>13/576,193</t>
  </si>
  <si>
    <t>Method for implementing audio transmission and mobile terminal</t>
  </si>
  <si>
    <t>Li; Xingyuan</t>
  </si>
  <si>
    <t>2010/10/27</t>
  </si>
  <si>
    <t>2012/11/29</t>
  </si>
  <si>
    <t>G06F 13/38</t>
  </si>
  <si>
    <t>13/629,486</t>
  </si>
  <si>
    <t>Method for shortening enumeration of tightly coupled USB device</t>
  </si>
  <si>
    <t>Manor; Liron|Rimoni; Yoram|Kolor; Sergio</t>
  </si>
  <si>
    <t>Manor; Liron</t>
  </si>
  <si>
    <t>2012/09/27</t>
  </si>
  <si>
    <t>G06F  3/06</t>
  </si>
  <si>
    <t>Y02B</t>
  </si>
  <si>
    <t>Y02B60/1228</t>
  </si>
  <si>
    <t>14/557,359</t>
  </si>
  <si>
    <t>Manor; Liron|Kolor; Sergio|Rimoni; Yoram</t>
  </si>
  <si>
    <t>13/389,526</t>
  </si>
  <si>
    <t>Method, Apparatus and System for Implementing Precoding</t>
  </si>
  <si>
    <t>Liu; Wenhao|Wang; Yanwen</t>
  </si>
  <si>
    <t>Liu; Wenhao</t>
  </si>
  <si>
    <t>13/253,747</t>
  </si>
  <si>
    <t>Method and apparatus of using CDD like schemes with UE-RS based open loop beamforming</t>
  </si>
  <si>
    <t>Bhattad; Kapil|Gaal; Peter</t>
  </si>
  <si>
    <t>H04B7/0486</t>
  </si>
  <si>
    <t>14/565,124</t>
  </si>
  <si>
    <t>13/513,127</t>
  </si>
  <si>
    <t>Method and Device for Transmitting Uplink Transmission Power Control Information</t>
  </si>
  <si>
    <t>13/760,561</t>
  </si>
  <si>
    <t>Method and apparatus for enhancing resource allocation for uplink MIMO communication</t>
  </si>
  <si>
    <t>Zhang; Danlu|Sambhwani; Sharad Deepak|Bharadwaj; Arjun|Agarwal; Ravi|Akkarakaran; Sony J.</t>
  </si>
  <si>
    <t>2012/02/08</t>
  </si>
  <si>
    <t>H04W72/1278</t>
  </si>
  <si>
    <t>13/291,056</t>
  </si>
  <si>
    <t>System and method for uplink multiple input multiple output transmission</t>
  </si>
  <si>
    <t>Sambhwani; Sharad Deepak|Akkarakaran; Sony John</t>
  </si>
  <si>
    <t>13/497,699</t>
  </si>
  <si>
    <t>Method and Device for Identifying and Unlocking with Contact Surface Model</t>
  </si>
  <si>
    <t>Wu; Hongchao</t>
  </si>
  <si>
    <t>2012/09/13</t>
  </si>
  <si>
    <t>G06F  3/041</t>
  </si>
  <si>
    <t>2.8</t>
  </si>
  <si>
    <t>12/852,516</t>
  </si>
  <si>
    <t>Method and system for adjusting display content</t>
  </si>
  <si>
    <t>Blow; Anthony T.|Forutanpour; Babak|Gooding; Ted R.|Bednar; David</t>
  </si>
  <si>
    <t>Blow; Anthony T.</t>
  </si>
  <si>
    <t>2010/08/08</t>
  </si>
  <si>
    <t>G06F3/0488</t>
  </si>
  <si>
    <t>14/619,056</t>
  </si>
  <si>
    <t>Intelligent auto screen lock</t>
  </si>
  <si>
    <t>Gudivada; Naga Chandan Babu|Vaddadi; Mohan Sree Bhadra Saithej|Kanthala; Venkata Raji Reddy</t>
  </si>
  <si>
    <t>Gudivada; Naga Chandan Babu</t>
  </si>
  <si>
    <t>H04M1/72563</t>
  </si>
  <si>
    <t>13/509,961</t>
  </si>
  <si>
    <t>SYSTEM AND METHOD FOR COMPATIBLE WIRED CHARGING AND WIRELESS CHARGING</t>
  </si>
  <si>
    <t>Gu; Yunfeng</t>
  </si>
  <si>
    <t>12/959,253</t>
  </si>
  <si>
    <t>Temperature sensor interface for wireless and wired charging</t>
  </si>
  <si>
    <t>Rosik; Raymond K.|Li; Pengfei|Irish; Linda S.</t>
  </si>
  <si>
    <t>Rosik; Raymond K.</t>
  </si>
  <si>
    <t>H01M</t>
  </si>
  <si>
    <t>H01M10/443</t>
  </si>
  <si>
    <t>14/156,306</t>
  </si>
  <si>
    <t>Systems, methods, and apparatus related to electric vehicle wired and wireless charging</t>
  </si>
  <si>
    <t>Keeling; Nicholas Athol|Kissin; Michael Le Gallais|Beaver; Jonathan|Huang; Chang-Yu</t>
  </si>
  <si>
    <t>Keeling; Nicholas Athol</t>
  </si>
  <si>
    <t>2014/01/15</t>
  </si>
  <si>
    <t>B60L</t>
  </si>
  <si>
    <t>B60L 11/18</t>
  </si>
  <si>
    <t>B60L11/182</t>
  </si>
  <si>
    <t>13/509,904</t>
  </si>
  <si>
    <t>METHOD AND DEVICE FOR ALLOCATING CONTROL CHANNEL ELEMENT RESOURCES</t>
  </si>
  <si>
    <t>Tan; Yuanchun</t>
  </si>
  <si>
    <t>2010/04/08</t>
  </si>
  <si>
    <t>0.92</t>
  </si>
  <si>
    <t>14/021,980</t>
  </si>
  <si>
    <t>EPDCCH resource and quasi-co-location management in LTE</t>
  </si>
  <si>
    <t>Chen; Wanshi|Geirhofer; Stefan|Gaal; Peter|Xu; Hao|Luo; Tao</t>
  </si>
  <si>
    <t>US2013/059079</t>
  </si>
  <si>
    <t>Epdcch resource and quasi-co-location management in lte</t>
  </si>
  <si>
    <t>CHEN,Wanshi|GEIRHOFER,Stefan|GAAL,Peter|XU,Hao|LUO,Tao</t>
  </si>
  <si>
    <t>2014/05/08</t>
  </si>
  <si>
    <t>0.21</t>
  </si>
  <si>
    <t>13/258,258</t>
  </si>
  <si>
    <t>Method, System and Apparatus for Implementing Secure Call Forwarding</t>
  </si>
  <si>
    <t>Tian; Tian|Zhu; Yumen|Wei; Yinxing|Gao; Feng</t>
  </si>
  <si>
    <t>Tian; Tian</t>
  </si>
  <si>
    <t>2010/03/21</t>
  </si>
  <si>
    <t>13/436,140</t>
  </si>
  <si>
    <t>Methods and apparatus for base station assisted peer discovery through aggregation of expressions</t>
  </si>
  <si>
    <t>Wang; Hua|Li; Junyi|Patil; Shailesh|Shakkottai; Sanjay</t>
  </si>
  <si>
    <t>Wang; Hua</t>
  </si>
  <si>
    <t>13/544,868</t>
  </si>
  <si>
    <t>Relay assisted peer discovery</t>
  </si>
  <si>
    <t>Tavildar; Saurabha Rangrao|Patil; Shailesh|Wang; Hua|Jovicic; Aleksandar|Li; Junyi</t>
  </si>
  <si>
    <t>Tavildar; Saurabha Rangrao</t>
  </si>
  <si>
    <t>2012/07/09</t>
  </si>
  <si>
    <t>H04W8/005</t>
  </si>
  <si>
    <t>13/384,902</t>
  </si>
  <si>
    <t>System and Method for Obtaining Subscriber Access Information by Core Network in Handover Process</t>
  </si>
  <si>
    <t>Wang; Shengming|Liu; Lin|Wang; Di</t>
  </si>
  <si>
    <t>Wang; Shengming</t>
  </si>
  <si>
    <t>2009/08/26</t>
  </si>
  <si>
    <t>2010/08/24</t>
  </si>
  <si>
    <t>12/695,052</t>
  </si>
  <si>
    <t>Selectively including allowed closed subscriber group list in page message</t>
  </si>
  <si>
    <t>Gupta; Rajarshi|Agashe; Parag A.|Horn; Gavin B.|Song; Osok</t>
  </si>
  <si>
    <t>2013/08/27</t>
  </si>
  <si>
    <t>H04W12/08</t>
  </si>
  <si>
    <t>13/355,415</t>
  </si>
  <si>
    <t>METHODS AND SYSTEMS FOR TRANSMITTING SFBC SIGNALS WITH CSI-RS TRANSMISSION AND RELATED MUTING IN LTE-ADVANCE SYSTEMS</t>
  </si>
  <si>
    <t>ZHANG; Wenfeng</t>
  </si>
  <si>
    <t>2011/01/20</t>
  </si>
  <si>
    <t>13/787,454</t>
  </si>
  <si>
    <t>Channel state information reference signal configuring and reporting for a coordinated multi-point transmission scheme</t>
  </si>
  <si>
    <t>Geirhofer; Stefan|Chen; Wanshi|Xu; Hao|Gaal; Peter</t>
  </si>
  <si>
    <t>13/781,605</t>
  </si>
  <si>
    <t>Randomization procedure for assigning interference measurement resources in wireless communication</t>
  </si>
  <si>
    <t>Geirhofer; Stefan|Gaal; Peter|Wei; Yongbin</t>
  </si>
  <si>
    <t>G06F 15/00</t>
  </si>
  <si>
    <t>13/392,930</t>
  </si>
  <si>
    <t>METHOD AND EVOLVED NODEB FOR SEMI-PERSISTENT SCHEDULING REACTIVATION</t>
  </si>
  <si>
    <t>Zhang; Ruixia|Wang; Bo</t>
  </si>
  <si>
    <t>Zhang; Ruixia</t>
  </si>
  <si>
    <t>2009/09/04</t>
  </si>
  <si>
    <t>2010/03/25</t>
  </si>
  <si>
    <t>2012/06/21</t>
  </si>
  <si>
    <t>1.78</t>
  </si>
  <si>
    <t>13/633,828</t>
  </si>
  <si>
    <t>Activating and deactivating semi-persistent scheduling for an LTE VoIP radio bearer</t>
  </si>
  <si>
    <t>Barany; Peter Anthony|Quick, Jr.; Roy Franklin</t>
  </si>
  <si>
    <t>Barany; Peter Anthony</t>
  </si>
  <si>
    <t>US2015/037986</t>
  </si>
  <si>
    <t>METHODS AND APPARATUS FOR EFFICIENT SUPPORT OF VARIABLE BIT RATE VOICE TRAFFIC ON LONG TERM EVOLUTION UPLINK</t>
  </si>
  <si>
    <t>VAJAPEYAM,Madhavan Srinivasan|WANG,Min|HO,Sai Yiu Duncan|DAMNJANOVIC,Aleksandar</t>
  </si>
  <si>
    <t>VAJAPEYAM,Madhavan Srinivasan</t>
  </si>
  <si>
    <t>2014/06/27</t>
  </si>
  <si>
    <t>2015/06/26</t>
  </si>
  <si>
    <t>2015/12/30</t>
  </si>
  <si>
    <t>13/257,913</t>
  </si>
  <si>
    <t>Method and System for Accessing 3rd Generation Network</t>
  </si>
  <si>
    <t>Liang; Jiehui|Shi; Yuanqing|Liu; Jiabing</t>
  </si>
  <si>
    <t>Liang; Jiehui</t>
  </si>
  <si>
    <t>2009/05/15</t>
  </si>
  <si>
    <t>13/762,231</t>
  </si>
  <si>
    <t>Secure mechanism for obtaining authorization for a discovered location server</t>
  </si>
  <si>
    <t>Hawkes; Philip Michael|Wachter; Andreas Klaus|Burroughs; Kirk Allan|Edge; Stephen William</t>
  </si>
  <si>
    <t>Hawkes; Philip Michael</t>
  </si>
  <si>
    <t>14/754,473</t>
  </si>
  <si>
    <t>2015/06/29</t>
  </si>
  <si>
    <t>2016/10/11</t>
  </si>
  <si>
    <t>13/257,874</t>
  </si>
  <si>
    <t>Measurement reporting method for closed subscriber group cell and corresponding user equipment</t>
  </si>
  <si>
    <t>Deng; Yun|Shi; Xiaojuan|Huang; Yada|Chen; Zhongming</t>
  </si>
  <si>
    <t>Deng; Yun</t>
  </si>
  <si>
    <t>2010/01/22</t>
  </si>
  <si>
    <t>2012/05/10</t>
  </si>
  <si>
    <t>1.87</t>
  </si>
  <si>
    <t>13/259,038</t>
  </si>
  <si>
    <t>OFDM signal demodulation method and device thereof</t>
  </si>
  <si>
    <t>Li; Qiang|Qiu; Ning|Cao; Nanshan</t>
  </si>
  <si>
    <t>Li; Qiang</t>
  </si>
  <si>
    <t>13/770,792</t>
  </si>
  <si>
    <t>Method and apparatus to determine time and distance between transceivers using phase measurements</t>
  </si>
  <si>
    <t>Pon; Rayman Wai|Farmer; Dominic Gerard</t>
  </si>
  <si>
    <t>Pon; Rayman Wai</t>
  </si>
  <si>
    <t>H04B  3/46</t>
  </si>
  <si>
    <t>H04L43/0858</t>
  </si>
  <si>
    <t>US2014/012688</t>
  </si>
  <si>
    <t>PON,Rayman Wai|FARMER,Dominic Gerard</t>
  </si>
  <si>
    <t>PON,Rayman Wai</t>
  </si>
  <si>
    <t>G01S  5/14</t>
  </si>
  <si>
    <t>13/257,862</t>
  </si>
  <si>
    <t>INFORMATION METHOD AND SYSTEM OF A USER ACCESS MODE</t>
  </si>
  <si>
    <t>Shi; Xiaojuan|Deng; Yun|Liu; Lin</t>
  </si>
  <si>
    <t>Shi; Xiaojuan</t>
  </si>
  <si>
    <t>2010/03/03</t>
  </si>
  <si>
    <t>2012/05/03</t>
  </si>
  <si>
    <t>13/258,238</t>
  </si>
  <si>
    <t>Method and terminal for data transmission</t>
  </si>
  <si>
    <t>Li; Fei</t>
  </si>
  <si>
    <t>2009/06/30</t>
  </si>
  <si>
    <t>2009/11/27</t>
  </si>
  <si>
    <t>13/895,038</t>
  </si>
  <si>
    <t>Evolved hybrid internet protocol (IP) multimedia subsystem (IMS) architecture</t>
  </si>
  <si>
    <t>Bharadwaj; Murali Bhaskara Rao|Singh; Vikram|Balasubramanian; Srinivasan</t>
  </si>
  <si>
    <t>Bharadwaj; Murali Bhaskara Rao</t>
  </si>
  <si>
    <t>2017/02/07</t>
  </si>
  <si>
    <t>H04W40/02</t>
  </si>
  <si>
    <t>US2013/041294</t>
  </si>
  <si>
    <t>Evolved hybrid internet protocol (ip) multimedia subsystem (ims) architecture</t>
  </si>
  <si>
    <t>BHARADWAJ,Murali,Bhaskara,Rao</t>
  </si>
  <si>
    <t>2013/05/16</t>
  </si>
  <si>
    <t>13/260,255</t>
  </si>
  <si>
    <t>METHOD AND DEVICE FOR DETECTING DOWNLINK CONTROL INFORMATION</t>
  </si>
  <si>
    <t>Yuan; Ming|Bi; Feng|Liang; Feng|Yang; Jin|Wu; Shuanshuan</t>
  </si>
  <si>
    <t>Yuan; Ming</t>
  </si>
  <si>
    <t>2009/09/25</t>
  </si>
  <si>
    <t>2010/08/25</t>
  </si>
  <si>
    <t>0.28</t>
  </si>
  <si>
    <t>13/665,771</t>
  </si>
  <si>
    <t>Structure of enhanced physical downlink control channel (e-PDCCH) in long term evolution (LTE)</t>
  </si>
  <si>
    <t>Chen; Wanshi|Gaal; Peter|Wei; Yongbin|Montojo; Juan|Luo; Tao|Xu; Hao|Geirhofer; Stefan|Damnjanovic; Jelena|Damnjanovic; Aleksandar</t>
  </si>
  <si>
    <t>13/257,801</t>
  </si>
  <si>
    <t>Notification method and system for information change of multimedia broadcast multicast service control channel</t>
  </si>
  <si>
    <t>Xu; Hui</t>
  </si>
  <si>
    <t>12/816,078</t>
  </si>
  <si>
    <t>Control channel design for dynamic sub-frame selection</t>
  </si>
  <si>
    <t>Chen; Wanshi|Montojo; Juan|Khandekar; Aamod D.</t>
  </si>
  <si>
    <t>2010/06/15</t>
  </si>
  <si>
    <t>13/322,228</t>
  </si>
  <si>
    <t>METHOD AND APPARATUS FOR SCHEDULING UPLINK RADIO RESOURCES IN RADIO COMMUNICATION SYSTEM</t>
  </si>
  <si>
    <t>Dai; Qian|Wang; Guanzhou|Chen; Si|Wang; Tao</t>
  </si>
  <si>
    <t>Dai; Qian</t>
  </si>
  <si>
    <t>2012/03/29</t>
  </si>
  <si>
    <t>3.27</t>
  </si>
  <si>
    <t>14/065,297</t>
  </si>
  <si>
    <t>Methods and apparatus for LTE MAC logical channel prioritization based on control data</t>
  </si>
  <si>
    <t>Nguyen; Bao Vinh|Maheshwari; Shailesh|Raina; Ashwini|Xiao; Gang Andy|Tallapragada; Prasanna Venkata Santosh Kumar</t>
  </si>
  <si>
    <t>Nguyen; Bao Vinh</t>
  </si>
  <si>
    <t>2013/10/28</t>
  </si>
  <si>
    <t>H04W72/087</t>
  </si>
  <si>
    <t>13/915,583</t>
  </si>
  <si>
    <t>Buffer status reporting and logical channel prioritization in multiflow operation</t>
  </si>
  <si>
    <t>Damnjanovic; Jelena|Ho; Sai Yiu Duncan|Vajapeyam; Madhavan Srinivasan</t>
  </si>
  <si>
    <t>Damnjanovic; Jelena</t>
  </si>
  <si>
    <t>2012/11/07</t>
  </si>
  <si>
    <t>13/144,797</t>
  </si>
  <si>
    <t>Processing method for access mode based on an HNB/HENB</t>
  </si>
  <si>
    <t>Li; Lanlan|Wang; Jing</t>
  </si>
  <si>
    <t>Li; Lanlan</t>
  </si>
  <si>
    <t>13/259,664</t>
  </si>
  <si>
    <t>METHOD, DEVICE AND SYSTEM FOR TRANSMITTING RELAY DATA</t>
  </si>
  <si>
    <t>Han; Lifeng|LI; Dapeng|Huang; Yada</t>
  </si>
  <si>
    <t>12/752,964</t>
  </si>
  <si>
    <t>Split-cell relay application protocol</t>
  </si>
  <si>
    <t>Ulupinar; Fatih|Shi; Yongsheng|Horn; Gavin Bernard|Agashe; Parag Arun|Huang; Xiaolong</t>
  </si>
  <si>
    <t>2009/04/13</t>
  </si>
  <si>
    <t>2010/04/01</t>
  </si>
  <si>
    <t>H04B7/2606</t>
  </si>
  <si>
    <t>14/023,164</t>
  </si>
  <si>
    <t>Device mobility for split-cell relay networks</t>
  </si>
  <si>
    <t>Ulupinar; Fatih|Shi; Yongsheng|Horn; Gavin B.|Agashe; Parag Arun|Huang; Xiaolong</t>
  </si>
  <si>
    <t>H04W 40/36</t>
  </si>
  <si>
    <t>H04W40/36</t>
  </si>
  <si>
    <t>13/147,734</t>
  </si>
  <si>
    <t>REVERSE POWER CONTROL METHODS BASED ON MULTI CARRIER</t>
  </si>
  <si>
    <t>Yu; Xi|Xie; Zhongshi</t>
  </si>
  <si>
    <t>Yu; Xi</t>
  </si>
  <si>
    <t>13/763,031</t>
  </si>
  <si>
    <t>Methods and devices for controlling uplink transmit power at an access terminal</t>
  </si>
  <si>
    <t>Hu; Jun|Attar; Rashid Ahmed Akbar</t>
  </si>
  <si>
    <t>2013/02/08</t>
  </si>
  <si>
    <t>14/579,828</t>
  </si>
  <si>
    <t>Techniques for reducing transmission delays in multi-carrier wireless communications</t>
  </si>
  <si>
    <t>Kanamarlapudi; Sitaramanjaneyulu|Hsu; Liangchi</t>
  </si>
  <si>
    <t>Kanamarlapudi; Sitaramanjaneyulu</t>
  </si>
  <si>
    <t>13/054,484</t>
  </si>
  <si>
    <t>IDLE AND PAGING SUPPORT FOR WIRELESS COMMUNICATION SYSTEMS WITH PRIVATE CELLS</t>
  </si>
  <si>
    <t>Chow; Jerry Pak Lup|So; Tricci</t>
  </si>
  <si>
    <t>Chow; Jerry Pak Lup</t>
  </si>
  <si>
    <t>2008/07/14</t>
  </si>
  <si>
    <t>2009/07/14</t>
  </si>
  <si>
    <t>13/691,618</t>
  </si>
  <si>
    <t>Methods and apparatuses for improved paging area identifier selection in wireless networks containing low power base stations</t>
  </si>
  <si>
    <t>Singh; Damanjit|Tinnakornsrisuphap; Peerapol|Yavuz; Mehmet|Tokgoz; Yeliz</t>
  </si>
  <si>
    <t>13/691,608</t>
  </si>
  <si>
    <t>12/377,929</t>
  </si>
  <si>
    <t>REPEAT CONTROL METHOD IN ENHANCED UPLINK ASYNCHRONOUS HYBRID AUTOMATIC REPEAT REQUEST</t>
  </si>
  <si>
    <t>Chen; Hui|Zhang; Yincheng|Ma; Zhifeng</t>
  </si>
  <si>
    <t>Chen; Hui</t>
  </si>
  <si>
    <t>14/139,741</t>
  </si>
  <si>
    <t>Discarding of hybrid automatic repeat request (HARQ) processes</t>
  </si>
  <si>
    <t>2013/12/23</t>
  </si>
  <si>
    <t>14/167,728</t>
  </si>
  <si>
    <t>Method and apparatus for handover VoLTE call to UMTS PS-based voice call</t>
  </si>
  <si>
    <t>Kanamarlapudi; Sitaramanjaneyulu|Hsu; Liangchi|Shi; Yongsheng</t>
  </si>
  <si>
    <t>2014/01/29</t>
  </si>
  <si>
    <t>12/989,790</t>
  </si>
  <si>
    <t>LTE RRC connection re-establishment requesting method, cause value setting method and terminal</t>
  </si>
  <si>
    <t>Huang; Bo|Liu; Haijun|Wang; Jian</t>
  </si>
  <si>
    <t>Huang; Bo</t>
  </si>
  <si>
    <t>2.42</t>
  </si>
  <si>
    <t>13/551,535</t>
  </si>
  <si>
    <t>Silent redial during mobile-originated call</t>
  </si>
  <si>
    <t>Swaminathan; Arvind|Balasubramanian; Srinivasan|Ginde; Samir V.</t>
  </si>
  <si>
    <t>Swaminathan; Arvind</t>
  </si>
  <si>
    <t>2011/07/19</t>
  </si>
  <si>
    <t>14/802,793</t>
  </si>
  <si>
    <t>2015/07/17</t>
  </si>
  <si>
    <t>12/866,202</t>
  </si>
  <si>
    <t>Domain Transferring Method for Single Radio Voice Call Continuity</t>
  </si>
  <si>
    <t>You; Shilin|Cai; Jiyan|Hao; Zhenwu|Yu; Zhiming</t>
  </si>
  <si>
    <t>2008/02/05</t>
  </si>
  <si>
    <t>2011/01/13</t>
  </si>
  <si>
    <t>1.81</t>
  </si>
  <si>
    <t>12/245,076</t>
  </si>
  <si>
    <t>Handling failure scenarios for voice call continuity</t>
  </si>
  <si>
    <t>Gupta; Kirti|Deshpande; Manoj M.</t>
  </si>
  <si>
    <t>Gupta; Kirti</t>
  </si>
  <si>
    <t>H04L69/40</t>
  </si>
  <si>
    <t>14/502,542</t>
  </si>
  <si>
    <t>Differentiated VoLTE based on dual radio and DRVCC</t>
  </si>
  <si>
    <t>Zhu; Xipeng|Li; Yan|Wang; Jun|Atarius; Roozbeh|Santhanam; Arvind Vardarajan</t>
  </si>
  <si>
    <t>Zhu; Xipeng</t>
  </si>
  <si>
    <t>12/809,787</t>
  </si>
  <si>
    <t>METHOD FOR IMPROVING PAGING SUCCESS RATIO IN BROAD BANDWITH WIRELESS COMMUNICATION SYSTEM</t>
  </si>
  <si>
    <t>Wang; Ning|Zhou; Wentao</t>
  </si>
  <si>
    <t>Wang; Ning</t>
  </si>
  <si>
    <t>2007/12/24</t>
  </si>
  <si>
    <t>12/497582</t>
  </si>
  <si>
    <t>METHOD FOR DELIVERING 1X NETWORK PAGING IN HIGH RATE PACKET DATA NETWORK</t>
  </si>
  <si>
    <t>Zhao; Xiaowu</t>
  </si>
  <si>
    <t>2009/07/03</t>
  </si>
  <si>
    <t>2009/12/24</t>
  </si>
  <si>
    <t>12/092005</t>
  </si>
  <si>
    <t>Implement Method for Power Control of the High Speed Shared Control Channel and the High Speed Shared Information Channel</t>
  </si>
  <si>
    <t>Ma; Zijiang|Ma; Zhifeng|Zhang; Yincheng</t>
  </si>
  <si>
    <t>Ma; Zijiang</t>
  </si>
  <si>
    <t>2005/11/02</t>
  </si>
  <si>
    <t>0.75</t>
  </si>
  <si>
    <t>12/909,699</t>
  </si>
  <si>
    <t>Facilitating open loop power control in TD-SCDMA multi-carrier systems</t>
  </si>
  <si>
    <t>H04W52/10</t>
  </si>
  <si>
    <t>14/026,986</t>
  </si>
  <si>
    <t>Apparatus, method, and system for uplink power control in a heterogeneous wireless communication network</t>
  </si>
  <si>
    <t>Mohan; Siddharth|Kapoor; Rohit|Sun; Haitong|Sambhwani; Sharad Deepak</t>
  </si>
  <si>
    <t>Mohan; Siddharth</t>
  </si>
  <si>
    <t>2012/09/18</t>
  </si>
  <si>
    <t>2013/09/13</t>
  </si>
  <si>
    <t>13/548,144</t>
  </si>
  <si>
    <t>Enhancement of slotted mode operation for wireless communication</t>
  </si>
  <si>
    <t>14/019,843</t>
  </si>
  <si>
    <t>Communicating physical layer wireless parameters over an application programming interface</t>
  </si>
  <si>
    <t>Hu; Jun|Ghosh; Donna|Attar; Rashid Ahmed Akbar|Sun; Jing|Ang; Peter P.|Garach; Ravindra Mahendrakumar</t>
  </si>
  <si>
    <t>H04M  3/00</t>
  </si>
  <si>
    <t>H04W8/183</t>
  </si>
  <si>
    <t>13/739,655</t>
  </si>
  <si>
    <t>Managing modem power consumption</t>
  </si>
  <si>
    <t>Attar; Rashid Ahmed Akbar</t>
  </si>
  <si>
    <t>G06F  1/32</t>
  </si>
  <si>
    <t>G06F1/3206</t>
  </si>
  <si>
    <t>13/635,905</t>
  </si>
  <si>
    <t>Method and system for selecting pre-coding matrix in closed loop multi-input multi-output system</t>
  </si>
  <si>
    <t>Jiao; Li|Yao; Chunfeng|Zhang; Juan</t>
  </si>
  <si>
    <t>Jiao; Li</t>
  </si>
  <si>
    <t>2010/03/22</t>
  </si>
  <si>
    <t>13/046,091</t>
  </si>
  <si>
    <t>Systems, apparatuses, and methods to facilitate coordinated scheduling in wireless communication systems</t>
  </si>
  <si>
    <t>Amin; Muhammad Awais|Giese; Jochen U.|Brueck; Stefan</t>
  </si>
  <si>
    <t>Amin; Muhammad Awais</t>
  </si>
  <si>
    <t>H04B  7/24</t>
  </si>
  <si>
    <t>13/046,105</t>
  </si>
  <si>
    <t>Giese; Jochen U.|Brueck; Stefan|Amin; Muhammad Awais</t>
  </si>
  <si>
    <t>Giese; Jochen U.</t>
  </si>
  <si>
    <t>12/090,796</t>
  </si>
  <si>
    <t>Uplink synchronous control method and apparatus of the high speed shared information channel</t>
  </si>
  <si>
    <t>Zhang; Yincheng|Ma; Zijiang|Ma; Zhifeng|Yang; Xuejun</t>
  </si>
  <si>
    <t>2005/11/03</t>
  </si>
  <si>
    <t>12/883,958</t>
  </si>
  <si>
    <t>Facilitating baton handover in multi-carrier TD-SCDMA communications systems</t>
  </si>
  <si>
    <t>H04W36/06</t>
  </si>
  <si>
    <t>12/883,986</t>
  </si>
  <si>
    <t>Alternate transmission scheme for high speed packet access (HSPA)</t>
  </si>
  <si>
    <t>12/267,502</t>
  </si>
  <si>
    <t>Flexible OFDM/OFDMA frame structure for communication systems</t>
  </si>
  <si>
    <t>4.46</t>
  </si>
  <si>
    <t>12/897,743</t>
  </si>
  <si>
    <t>Apparatus and method for dynamic load balancing in a multi-carrier wireless communication system</t>
  </si>
  <si>
    <t>Sambhwani; Sharad D.|Mohanty; Bibhu P.</t>
  </si>
  <si>
    <t>Sambhwani; Sharad D.</t>
  </si>
  <si>
    <t>2010/10/04</t>
  </si>
  <si>
    <t>13/649,058</t>
  </si>
  <si>
    <t>Extension carrier as a bandwidth extension</t>
  </si>
  <si>
    <t>Damnjanovic; Jelena|Malladi; Durga Prasad|Chen; Wanshi|Gaal; Peter|Montojo; Juan</t>
  </si>
  <si>
    <t>2011/10/11</t>
  </si>
  <si>
    <t>2012/10/10</t>
  </si>
  <si>
    <t>H04L5/0055</t>
  </si>
  <si>
    <t>12/746,511</t>
  </si>
  <si>
    <t>Method for notifying a terminal of an update on system information in a long term evolution system</t>
  </si>
  <si>
    <t>Du; Zhongda</t>
  </si>
  <si>
    <t>2012/06/12</t>
  </si>
  <si>
    <t>14/457,012</t>
  </si>
  <si>
    <t>Method and apparatus for managing interaction between DRX cycles and paging cycles</t>
  </si>
  <si>
    <t>Tenny; Nathan Edward|Meylan; Arnaud</t>
  </si>
  <si>
    <t>2008/06/13</t>
  </si>
  <si>
    <t>2014/08/11</t>
  </si>
  <si>
    <t>13/796,961</t>
  </si>
  <si>
    <t>Apparatus and method for performing better PLMN search during connected mode DRX</t>
  </si>
  <si>
    <t>Singhal; Vaibhav|Kona; Praveen N.|Rajagopalan; Srinivasan</t>
  </si>
  <si>
    <t>Singhal; Vaibhav</t>
  </si>
  <si>
    <t>11/192,420</t>
  </si>
  <si>
    <t>Transmission and reception of reference preamble signals in OFDMA or OFDM communication systems</t>
  </si>
  <si>
    <t>Hou; Jason|Wang; Jing|Cai; Sean|Feng; Dazi|Fang; Yonggang|Yang; Yunsong</t>
  </si>
  <si>
    <t>Hou; Jason</t>
  </si>
  <si>
    <t>H04J13/0062</t>
  </si>
  <si>
    <t>3.82</t>
  </si>
  <si>
    <t>12/559,385</t>
  </si>
  <si>
    <t>Luo; Tao|Montojo; Juan|Zhang; Xiaoxia</t>
  </si>
  <si>
    <t>2008/09/15</t>
  </si>
  <si>
    <t>KR102010701267.0</t>
  </si>
  <si>
    <t>FLEXIBLE OFDM/OFDMA FRAME STRUCTURE FOR COMMUNICATION  SYSTEMS</t>
  </si>
  <si>
    <t>CAI SEAN|CHOW JERRY|HONGYUN QU|HUIYING FANG</t>
  </si>
  <si>
    <t>CAI SEAN</t>
  </si>
  <si>
    <t>2001/01/25</t>
  </si>
  <si>
    <t>2.45</t>
  </si>
  <si>
    <t>TW102146257</t>
  </si>
  <si>
    <t>在通信系统中之用户端装置之网路浏览器上载入重新定向之网路资源</t>
  </si>
  <si>
    <t>荷旭伯格　乔许华|贝瑞杰斯　葛毕尔|米兹洛斯基　伊坦</t>
  </si>
  <si>
    <t>荷旭伯格　乔许华</t>
  </si>
  <si>
    <t>2013/12/13</t>
  </si>
  <si>
    <t>2016/04/11</t>
  </si>
  <si>
    <t>CN200810089261.X</t>
  </si>
  <si>
    <t>一种移动终端上自适应配置接入点名称的方法</t>
  </si>
  <si>
    <t>冯玉|车忠辉|王科平|陈兵|靳军红|秦威</t>
  </si>
  <si>
    <t>冯玉</t>
  </si>
  <si>
    <t>2011/11/30</t>
  </si>
  <si>
    <t>US2015/036684</t>
  </si>
  <si>
    <t>SYSTEM AND PROCESS FOR AUTO CONFIGURATION OF MULTI-SIM BASED DEVICES</t>
  </si>
  <si>
    <t>LALWANEY,Poornima Assudo</t>
  </si>
  <si>
    <t>2014/07/24</t>
  </si>
  <si>
    <t>2015/06/19</t>
  </si>
  <si>
    <t>H04W  8/20</t>
  </si>
  <si>
    <t>CN2012/077162</t>
  </si>
  <si>
    <t>Enhanced uplink coverage method, device and base station</t>
  </si>
  <si>
    <t>中兴通讯|CHEN,Xianming|GUAN,Yanfeng|YUAN,Yifei|ZUO,Zhisong|ZHANG,Junfeng</t>
  </si>
  <si>
    <t>中兴通讯|chen xianming|guan yanfeng|yuan yifei|zuo zhisong|zhang junfeng</t>
  </si>
  <si>
    <t>CHEN,Xianming|GUAN,Yanfeng|YUAN,Yifei|ZUO,Zhisong|ZHANG,Junfeng</t>
  </si>
  <si>
    <t>CHEN,Xianming</t>
  </si>
  <si>
    <t>2012/03/15</t>
  </si>
  <si>
    <t>US2014/056604</t>
  </si>
  <si>
    <t>FLEXIBLE OPERATION OF ENHANCED TTI-BUNDLING MODES IN LTE</t>
  </si>
  <si>
    <t>XU,Hao|VAJAPEYAM,Madhavan Srinivasan|CHEN,Wanshi|GAAL,Peter</t>
  </si>
  <si>
    <t>2013/09/20</t>
  </si>
  <si>
    <t>2014/09/19</t>
  </si>
  <si>
    <t>2015/03/26</t>
  </si>
  <si>
    <t>US2013/023368</t>
  </si>
  <si>
    <t>Method and system for coverage enhancement of uplink voip</t>
  </si>
  <si>
    <t>中兴通讯|YUAN,Yifei</t>
  </si>
  <si>
    <t>中兴通讯|yuan yifei</t>
  </si>
  <si>
    <t>YUAN,Yifei</t>
  </si>
  <si>
    <t>2012/01/30</t>
  </si>
  <si>
    <t>2013/01/28</t>
  </si>
  <si>
    <t>CN2012/076303</t>
  </si>
  <si>
    <t>Method and apparatus for phich symbol data transmission</t>
  </si>
  <si>
    <t>中兴通讯|中兴通讯股份有限公司 GUO,Senbao|郭森宝 SUN,Yunfeng</t>
  </si>
  <si>
    <t>GUO,Senbao|郭森宝|SUN,Yunfeng|孙云锋</t>
  </si>
  <si>
    <t>GUO,Senbao</t>
  </si>
  <si>
    <t>2011/07/20</t>
  </si>
  <si>
    <t>2012/05/30</t>
  </si>
  <si>
    <t>US2015/014378</t>
  </si>
  <si>
    <t>EPHICH FOR LTE NETWORKS WITH UNLICENSED SPECTRUM</t>
  </si>
  <si>
    <t>YERRAMALLI,Srinivas|LUO,Tao|XU,Hao|GAAL,Peter|CHEN,Wanshi|DAMNJANOVIC,Aleksandar|JI,Tingfang|PATEL,Shimman,Arvid</t>
  </si>
  <si>
    <t>YERRAMALLI,Srinivas</t>
  </si>
  <si>
    <t>2015/02/04</t>
  </si>
  <si>
    <t>2015/08/13</t>
  </si>
  <si>
    <t>CN2011/084755</t>
  </si>
  <si>
    <t>Method and device for feeding back channel information</t>
  </si>
  <si>
    <t>中兴通讯|中兴通讯股份有限公司 ZHU,Dengkui</t>
  </si>
  <si>
    <t>ZHU,Dengkui|朱登魁</t>
  </si>
  <si>
    <t>ZHU,Dengkui</t>
  </si>
  <si>
    <t>2011/06/30</t>
  </si>
  <si>
    <t>2013/01/03</t>
  </si>
  <si>
    <t>CN2011/078521</t>
  </si>
  <si>
    <t>Terminal access method and device</t>
  </si>
  <si>
    <t>中兴通讯|中兴通讯股份有限公司 MAO,Lei|毛磊</t>
  </si>
  <si>
    <t>MAO,Lei|毛磊|LI,Mian</t>
  </si>
  <si>
    <t>MAO,Lei</t>
  </si>
  <si>
    <t>2011/01/21</t>
  </si>
  <si>
    <t>2011/08/17</t>
  </si>
  <si>
    <t>14/012,905</t>
  </si>
  <si>
    <t>Application layer related group priority access using eMBMS and LTE priority access</t>
  </si>
  <si>
    <t>Anchan; Kirankumar</t>
  </si>
  <si>
    <t>2012/08/31</t>
  </si>
  <si>
    <t>CN2011/075361</t>
  </si>
  <si>
    <t>Method and apparatus for adaptively canceling multi-antenna diversity combination interferences</t>
  </si>
  <si>
    <t>中兴通讯|NING DIHAO|ZHU DENGKUI|XIAO HUAHUA|LU ZHAOHUA</t>
  </si>
  <si>
    <t>NING,Dihao|宁迪浩|ZHU,Dengkui|朱登魁</t>
  </si>
  <si>
    <t>NING,Dihao</t>
  </si>
  <si>
    <t>2010/11/23</t>
  </si>
  <si>
    <t>2011/06/07</t>
  </si>
  <si>
    <t>2012/05/31</t>
  </si>
  <si>
    <t>14/842,659</t>
  </si>
  <si>
    <t>Time-controlled spatial interference rejection</t>
  </si>
  <si>
    <t>Jalloul; Louay</t>
  </si>
  <si>
    <t>H04L25/021</t>
  </si>
  <si>
    <t>CN2011/073024</t>
  </si>
  <si>
    <t>Synchronization method and system for counters of integrity security of srb3 and srb4</t>
  </si>
  <si>
    <t>LIN,Yan</t>
  </si>
  <si>
    <t>CN2013/073636</t>
  </si>
  <si>
    <t>Method and apparatus for avoiding call drops during serving radio network subsystem (srns) relocation procedure</t>
  </si>
  <si>
    <t>高通|XU,Huan|GUAN,Xuepan|LIOU,Tim Tynghuei|TSAI,Shiau-He|XIE,Yong</t>
  </si>
  <si>
    <t>高通|xu huan|guan xuepan|liou tim tynghuei|tsai shiau he|xie yong</t>
  </si>
  <si>
    <t>XU,Huan|GUAN,Xuepan|LIOU,Tim Tynghuei|TSAI,Shiau-He|XIE,Yong</t>
  </si>
  <si>
    <t>XU,Huan</t>
  </si>
  <si>
    <t>CN2011/070185</t>
  </si>
  <si>
    <t>Method and terminal for feeding back channel state information</t>
  </si>
  <si>
    <t>中兴通讯|中兴通讯股份有限公司 LI,Ruyue|李儒岳 XU,Jun</t>
  </si>
  <si>
    <t>LI,Ruyue|李儒岳|XU,Jun|徐俊</t>
  </si>
  <si>
    <t>LI,Ruyue</t>
  </si>
  <si>
    <t>2010/06/21</t>
  </si>
  <si>
    <t>2011/01/11</t>
  </si>
  <si>
    <t>13/210,052</t>
  </si>
  <si>
    <t>Enforcing constant modulus and finite alphabet properties in adaptive and dual-stage codebooks</t>
  </si>
  <si>
    <t>Geirhofer; Stefan|Gaal; Peter|Montojo; Juan</t>
  </si>
  <si>
    <t>CN2011/070999</t>
  </si>
  <si>
    <t>Measurement task processing method and system in carrier aggregation system</t>
  </si>
  <si>
    <t>中兴通讯|中兴通讯股份有限公司 CHEN,Zhongming</t>
  </si>
  <si>
    <t>CHEN,Zhongming|陈中明</t>
  </si>
  <si>
    <t>CHEN,Zhongming</t>
  </si>
  <si>
    <t>2011/12/08</t>
  </si>
  <si>
    <t>US2013/040037</t>
  </si>
  <si>
    <t>Mechanism to improve dynamic sharing of receive chain(s) among radio access technologies</t>
  </si>
  <si>
    <t>AMINZADEH GOHARI,Amir|MAHAJAN,Amit|EHSAN,Navid|KLINGENBRUNN,Thomas|GHOLMIEH,Aziz|GOROKHOV,Alexei Yurievitch</t>
  </si>
  <si>
    <t>AMINZADEH GOHARI,Amir</t>
  </si>
  <si>
    <t>2012/05/08</t>
  </si>
  <si>
    <t>US2011/025272</t>
  </si>
  <si>
    <t>Methods and systems for csi-rs transmission in lte-advance systems</t>
  </si>
  <si>
    <t>2011/08/25</t>
  </si>
  <si>
    <t>9.11</t>
  </si>
  <si>
    <t>13/830,821</t>
  </si>
  <si>
    <t>Channel state information reference signal (CSI-RS) configuration and CSI reporting restrictions</t>
  </si>
  <si>
    <t>Geirhofer; Stefan|Chen; Wanshi|Gaal; Peter</t>
  </si>
  <si>
    <t>CN2010/078897</t>
  </si>
  <si>
    <t>Method and user equipment for receiving multicast control channel notification message</t>
  </si>
  <si>
    <t>中兴通讯|中兴通讯股份有限公司 WANG,Bin</t>
  </si>
  <si>
    <t>WANG,Bin|王斌</t>
  </si>
  <si>
    <t>WANG,Bin</t>
  </si>
  <si>
    <t>2009/12/09</t>
  </si>
  <si>
    <t>US2013/032599</t>
  </si>
  <si>
    <t>Efficient update of tmgi list in lte embms</t>
  </si>
  <si>
    <t>AMERGA,Daniel|SIVARAMAKRISHNA,Veerepalli|MAHESHWARI,Shailesh|LEE,Kuo-Chun|SHAUH,Jack Shyh-Hurng|VERMA,Ankur|ZHANG,Zhen|MURUGAN,Muralidharan|GHOLMIEH,Ralph Akram</t>
  </si>
  <si>
    <t>AMERGA,Daniel</t>
  </si>
  <si>
    <t>CN2010/074867</t>
  </si>
  <si>
    <t>Method and apparatus for detecting performance of random access channel</t>
  </si>
  <si>
    <t>中兴通讯|中兴通讯股份有限公司 SHA,Xiubin</t>
  </si>
  <si>
    <t>SHA,Xiubin|沙秀斌</t>
  </si>
  <si>
    <t>SHA,Xiubin</t>
  </si>
  <si>
    <t>US2013/023938</t>
  </si>
  <si>
    <t>Method and apparatus for uplink channel capacity estimation and transmission control</t>
  </si>
  <si>
    <t>VENKATACHALAM JAYARAMAN VENKATA RAMANAN [US]|KAPOOR ROHIT [US]|ATTAR RASHID AHMED AKBAR [US]</t>
  </si>
  <si>
    <t>VENKATACHALAM JAYARAMAN VENKATA RAMANAN [US]</t>
  </si>
  <si>
    <t>2013/01/30</t>
  </si>
  <si>
    <t>CN2010/073383</t>
  </si>
  <si>
    <t>Method and system for switching international mobile subscriber identity number</t>
  </si>
  <si>
    <t>中兴通讯|中兴通讯股份有限公司 HE,Kewei|何可为</t>
  </si>
  <si>
    <t>HE,Kewei|何可为|WANG,Shoulin</t>
  </si>
  <si>
    <t>HE,Kewei</t>
  </si>
  <si>
    <t>2010/05/31</t>
  </si>
  <si>
    <t>2011/03/03</t>
  </si>
  <si>
    <t>14/521,082</t>
  </si>
  <si>
    <t>System and methods for dynamic SIM provisioning on a dual-SIM wireless communication device</t>
  </si>
  <si>
    <t>Zhu; Xipeng|Du; Zhimin|Jiang; Junan</t>
  </si>
  <si>
    <t>H04M15/8011</t>
  </si>
  <si>
    <t>CN2009/076095</t>
  </si>
  <si>
    <t>Method, system and network side device for transmitting control information of multimedia broadcast multicast service</t>
  </si>
  <si>
    <t>中兴通讯|中兴通讯股份有限公司 AI,Jianxun</t>
  </si>
  <si>
    <t>AI,Jianxun|艾建勋</t>
  </si>
  <si>
    <t>AI,Jianxun</t>
  </si>
  <si>
    <t>2009/12/25</t>
  </si>
  <si>
    <t>13/421,819</t>
  </si>
  <si>
    <t>Target cell selection for multimedia broadcast multicast service continuity</t>
  </si>
  <si>
    <t>Zhang; Xiaoxia|Wang; Jun|Liu; Zhengwei|Garavaglia; Andrea|Lee; Kuo-Chun|Cherian; George</t>
  </si>
  <si>
    <t>CN2010/074783</t>
  </si>
  <si>
    <t>Method and system for implementing downlink control signaling transmission</t>
  </si>
  <si>
    <t>中兴通讯|中兴通讯股份有限公司 LIU,Wenhao</t>
  </si>
  <si>
    <t>LIU,Wenhao|刘文豪</t>
  </si>
  <si>
    <t>LIU,Wenhao</t>
  </si>
  <si>
    <t>2010/12/29</t>
  </si>
  <si>
    <t>13/403,933</t>
  </si>
  <si>
    <t>Multi-carrier operations with fast frequency hopping</t>
  </si>
  <si>
    <t>Barbieri; Alan|Gaal; Peter</t>
  </si>
  <si>
    <t>2011/02/25</t>
  </si>
  <si>
    <t>2012/02/23</t>
  </si>
  <si>
    <t>H04L5/003</t>
  </si>
  <si>
    <t>CN2010/074829</t>
  </si>
  <si>
    <t>Method and device for transmitting data on physical uplink control channel in a multi-antenna system</t>
  </si>
  <si>
    <t>中兴通讯|WANG YUXIN|HAO PENG|YU BIN|ZHANG YUQIANG|ZHU PENG|ZHANG RONG</t>
  </si>
  <si>
    <t>WANG,Yuxin|王瑜新|HAO,Peng|郝鹏|YU,Bin|喻斌</t>
  </si>
  <si>
    <t>WANG,Yuxin</t>
  </si>
  <si>
    <t>13/098,231</t>
  </si>
  <si>
    <t>UE based conditional enabling of ULTD</t>
  </si>
  <si>
    <t>Mohanty; Bibhu Prasad|Sambhwani; Sharad Deepak|Zhang; Chengjin|Filipovic; Daniel F.|Agarwal; Ravi|Hou; Jilei|Kapoor; Rohit</t>
  </si>
  <si>
    <t>Mohanty; Bibhu Prasad</t>
  </si>
  <si>
    <t>H04B7/0689</t>
  </si>
  <si>
    <t>CN2010/073350</t>
  </si>
  <si>
    <t>Method for processing handover capability and base station</t>
  </si>
  <si>
    <t>中兴通讯|中兴通讯股份有限公司 SHI,Xiaojuan</t>
  </si>
  <si>
    <t>SHI,Xiaojuan|施小娟</t>
  </si>
  <si>
    <t>SHI,Xiaojuan</t>
  </si>
  <si>
    <t>2009/11/05</t>
  </si>
  <si>
    <t>13/842,629</t>
  </si>
  <si>
    <t>Apparatus and method for signaling network capabilities for a wireless device</t>
  </si>
  <si>
    <t>Amerga; Daniel|Chen; Qingxin|Chivukula; Srivatsa V.|Gopal; Thawatt|Mandadapu; Krishna Rao|Pant; Nitin|Patil; Kiran KishanRao|Patil; Sunil Suresh|Ramachandran; Shyamal|Sureshchandran; Swaminathan|Siu; Ta Yan|Potnuru; Venkata G.</t>
  </si>
  <si>
    <t>H04W8/22</t>
  </si>
  <si>
    <t>CN2010/072584</t>
  </si>
  <si>
    <t>Method and apparatus for sending the information about channel state information-reference signal, and user equipment therein</t>
  </si>
  <si>
    <t>中兴通讯|中兴通讯股份有限公司 JIANG,Jing</t>
  </si>
  <si>
    <t>JIANG,Jing|姜静</t>
  </si>
  <si>
    <t>JIANG,Jing</t>
  </si>
  <si>
    <t>2010/05/10</t>
  </si>
  <si>
    <t>H04W 16/00</t>
  </si>
  <si>
    <t>0.58</t>
  </si>
  <si>
    <t>CN2009/076335</t>
  </si>
  <si>
    <t>Resource allocation method for dynamic multiplexing of multimedia broadcast multicast service</t>
  </si>
  <si>
    <t>中兴通讯|中兴通讯股份有限公司 AI,Jianxun|艾建勋</t>
  </si>
  <si>
    <t>AI,Jianxun|艾建勋|MA,Zijiang</t>
  </si>
  <si>
    <t>1.34</t>
  </si>
  <si>
    <t>JP2015221383A</t>
  </si>
  <si>
    <t>Resource specification for broadcast/multicast services</t>
  </si>
  <si>
    <t>M Damnjanovic Jelena|Edward Tenny Nathan</t>
  </si>
  <si>
    <t>M Damnjanovic Jelena</t>
  </si>
  <si>
    <t>2015/11/11</t>
  </si>
  <si>
    <t>2016/04/14</t>
  </si>
  <si>
    <t>H04L 12/189</t>
  </si>
  <si>
    <t>JP</t>
  </si>
  <si>
    <t>CN2009/074143</t>
  </si>
  <si>
    <t>Method and system for accessing 3rd generation network</t>
  </si>
  <si>
    <t>中兴通讯|中兴通讯股份有限公司 LIANG,Jiehui|梁洁辉</t>
  </si>
  <si>
    <t>LIANG,Jiehui|梁洁辉|SHI,Yuanqing</t>
  </si>
  <si>
    <t>LIANG,Jiehui</t>
  </si>
  <si>
    <t>CN2010/071759</t>
  </si>
  <si>
    <t>Multi-mode terminal and method for implementing call hold automatically thereof</t>
  </si>
  <si>
    <t>中兴通讯|中兴通讯股份有限公司 CONG,Wen|丛文</t>
  </si>
  <si>
    <t>CONG,Wen|丛文|ZHU,Pengbo</t>
  </si>
  <si>
    <t>CONG,Wen</t>
  </si>
  <si>
    <t>2009/05/04</t>
  </si>
  <si>
    <t>2010/11/11</t>
  </si>
  <si>
    <t>H04W  4/16</t>
  </si>
  <si>
    <t>US2014/034400</t>
  </si>
  <si>
    <t>Methods and apparatuses to convey a local call hold state to a recipient device</t>
  </si>
  <si>
    <t>SINHA,Abhijeet|SACHDEVA,Nitin|GOEL,Neha</t>
  </si>
  <si>
    <t>SINHA,Abhijeet</t>
  </si>
  <si>
    <t>2013/04/21</t>
  </si>
  <si>
    <t>2014/10/30</t>
  </si>
  <si>
    <t>CN2010/071744</t>
  </si>
  <si>
    <t>Method and device for bearing and receiving scheduling information of multimedia broadcast multicast service (mbms) control channel (mcch) update indication information</t>
  </si>
  <si>
    <t>中兴通讯|中兴通讯股份有限公司 GOU,Wei</t>
  </si>
  <si>
    <t>GOU,Wei|苟伟</t>
  </si>
  <si>
    <t>GOU,Wei</t>
  </si>
  <si>
    <t>2009/04/17</t>
  </si>
  <si>
    <t>12/977,564</t>
  </si>
  <si>
    <t>System synchronization in TD-SCDMA and TDD-LTE systems</t>
  </si>
  <si>
    <t>H04W56/001</t>
  </si>
  <si>
    <t>US2009/050608</t>
  </si>
  <si>
    <t>Idle and paging support for wireless communication systems with private cells</t>
  </si>
  <si>
    <t>中兴通讯|CHOW,Jerry,Paklup|SO,Tricci</t>
  </si>
  <si>
    <t>中兴通讯|chow jerry paklup|so tricci</t>
  </si>
  <si>
    <t>CHOW,Jerry,Paklup|SO,Tricci</t>
  </si>
  <si>
    <t>CHOW,Jerry,Paklup</t>
  </si>
  <si>
    <t>2010/01/21</t>
  </si>
  <si>
    <t>US2015/040072</t>
  </si>
  <si>
    <t>DETERMINING THE LOCATION OF A WIRELESS TERMINAL IN A VEHICLE MOUNTED SMALL CELL</t>
  </si>
  <si>
    <t>STUPAR,Patrick|EDGE,Stephen William|FISCHER,Sven|GARAVAGLIA,Andrea|PRAKASH,Rajat|TOKGOZ,Yeliz|AHMAVAARA,Kalle Ilmari</t>
  </si>
  <si>
    <t>STUPAR,Patrick</t>
  </si>
  <si>
    <t>2014/07/11</t>
  </si>
  <si>
    <t>2015/07/11</t>
  </si>
  <si>
    <t>2016/01/14</t>
  </si>
  <si>
    <t>CN2009/072109</t>
  </si>
  <si>
    <t>Access control method and system for packet data network, pcrf entity</t>
  </si>
  <si>
    <t>中兴通讯|中兴通讯股份有限公司 ZHOU,Xiaoyun</t>
  </si>
  <si>
    <t>ZHOU,Xiaoyun|周晓云</t>
  </si>
  <si>
    <t>ZHOU,Xiaoyun</t>
  </si>
  <si>
    <t>2009/06/03</t>
  </si>
  <si>
    <t>H04L 12/54</t>
  </si>
  <si>
    <t>US2011/022475</t>
  </si>
  <si>
    <t>Apparatus and method for associating a gateway control session with an internet protocol connectivity access network (ip-can) session</t>
  </si>
  <si>
    <t>高通|CHERIAN,George|WANG,Jun|JIN,Haipeng</t>
  </si>
  <si>
    <t>高通|cherian george|wang jun|jin haipeng</t>
  </si>
  <si>
    <t>CHERIAN,George|WANG,Jun|JIN,Haipeng</t>
  </si>
  <si>
    <t>2011/07/28</t>
  </si>
  <si>
    <t>CN2008/000522</t>
  </si>
  <si>
    <t>A method for relaying and forwarding the feedback information in harq scene</t>
  </si>
  <si>
    <t>中兴通讯|中兴通讯股份有限公司 LIU,Yang</t>
  </si>
  <si>
    <t>LIU,Yang|刘扬</t>
  </si>
  <si>
    <t>LIU,Yang</t>
  </si>
  <si>
    <t>2008/01/11</t>
  </si>
  <si>
    <t>2008/03/17</t>
  </si>
  <si>
    <t>0.50</t>
  </si>
  <si>
    <t>12/970,765</t>
  </si>
  <si>
    <t>Apparatus and method for transmit-response timing for relay operation in wireless communications</t>
  </si>
  <si>
    <t>Chen; Wanshi|Damnjanovic; Aleksandar|Palanki; Ravi|Khandekar; Aamod Dinkar</t>
  </si>
  <si>
    <t>2010/12/16</t>
  </si>
  <si>
    <t>CN2008/002064</t>
  </si>
  <si>
    <t>A method for selecting a policy and charging rules function entity in the non-roaming scenario</t>
  </si>
  <si>
    <t>中兴通讯|中兴通讯股份有限公司 RUI,Tong|芮通 ZONG,Zaifeng|宗在峰</t>
  </si>
  <si>
    <t>RUI,Tong|芮通|ZONG,Zaifeng|宗在峰|ZHOU,Xiaoyun</t>
  </si>
  <si>
    <t>RUI,Tong</t>
  </si>
  <si>
    <t>US2008/056455</t>
  </si>
  <si>
    <t>Radio resource management in wireless cellular networks having multi-hop relay stations</t>
  </si>
  <si>
    <t>中兴通讯|CAI,Sean|OLSZEWSKI,Kim</t>
  </si>
  <si>
    <t>中兴通讯|cai sean|olszewski kim</t>
  </si>
  <si>
    <t>CAI,Sean|OLSZEWSKI,Kim</t>
  </si>
  <si>
    <t>2.51</t>
  </si>
  <si>
    <t>US2008/055730</t>
  </si>
  <si>
    <t>Wimax multicast broadcast network system architecture</t>
  </si>
  <si>
    <t>中兴通讯|SO,Tricci|SONG,Jianquan|CHU,Li|GU,Zhongyu</t>
  </si>
  <si>
    <t>中兴通讯|so tricci|song jianquan|chu li|gu zhongyu</t>
  </si>
  <si>
    <t>SO,Tricci|SONG,Jianquan|CHU,Li|GU,Zhongyu</t>
  </si>
  <si>
    <t>2007/03/02</t>
  </si>
  <si>
    <t>9.74</t>
  </si>
  <si>
    <t>12/569,705</t>
  </si>
  <si>
    <t>Method and apparatus for billing and security architecture for venue-cast services</t>
  </si>
  <si>
    <t>Guo; Jiming|Fan; Mingxi</t>
  </si>
  <si>
    <t>Guo; Jiming</t>
  </si>
  <si>
    <t>2008/10/24</t>
  </si>
  <si>
    <t>H04N  7/167</t>
  </si>
  <si>
    <t>H04L63/065</t>
  </si>
  <si>
    <t>CN2007/000992</t>
  </si>
  <si>
    <t>Methods for setting radio frame cyclic prefix parameters and tramsmitting radio signal</t>
  </si>
  <si>
    <t>中兴通讯|中兴通讯股份有限公司 ZUO,Zhisong</t>
  </si>
  <si>
    <t>ZUO,Zhisong|左志松</t>
  </si>
  <si>
    <t>ZUO,Zhisong</t>
  </si>
  <si>
    <t>2006/08/17</t>
  </si>
  <si>
    <t>2007/03/27</t>
  </si>
  <si>
    <t>12/564,670</t>
  </si>
  <si>
    <t>Transmit diversity for SC-FDMA</t>
  </si>
  <si>
    <t>Luo; Xiliang|Gaal; Peter|Montojo; Juan|Chen; Wanshi</t>
  </si>
  <si>
    <t>CN2006/003786</t>
  </si>
  <si>
    <t>A recovery device and control method for realizing any rate service access signal</t>
  </si>
  <si>
    <t>中兴通讯|中兴通讯股份有限公司 XU,Changwu|许昌武</t>
  </si>
  <si>
    <t>XU,Changwu|许昌武|QIN,Yongbing</t>
  </si>
  <si>
    <t>XU,Changwu</t>
  </si>
  <si>
    <t>2006/06/27</t>
  </si>
  <si>
    <t>2006/12/30</t>
  </si>
  <si>
    <t>15/032,042</t>
  </si>
  <si>
    <t>Frequency aided clock recovery based on low speed information exchange mechanism</t>
  </si>
  <si>
    <t>Shi; Qing|Liu; Yahuan|Wen; Robert Yongli|Zhang; James Qian</t>
  </si>
  <si>
    <t>Shi; Qing</t>
  </si>
  <si>
    <t>H04L  7/04</t>
  </si>
  <si>
    <t>H04L7/02</t>
  </si>
  <si>
    <t>PCT/CN2004/00114.2</t>
  </si>
  <si>
    <t>Method of cdma base station receive mobile station reverse channel quality indicator channel</t>
  </si>
  <si>
    <t>中兴通讯|Ling,Liuyao|Wang,Biao</t>
  </si>
  <si>
    <t>中兴通讯|ling liuyao|wang biao</t>
  </si>
  <si>
    <t>Ling,Liuyao|Wang,Biao</t>
  </si>
  <si>
    <t>Ling,Liuyao</t>
  </si>
  <si>
    <t>2003/10/11</t>
  </si>
  <si>
    <t>2004/10/09</t>
  </si>
  <si>
    <t>2005/04/21</t>
  </si>
  <si>
    <t>H04B  1/76</t>
  </si>
  <si>
    <t>CN201080057059.4</t>
  </si>
  <si>
    <t>使用分布式消息总线用于特用对等式连接性的方法和设备</t>
  </si>
  <si>
    <t>高通创新中心股份有限公司</t>
  </si>
  <si>
    <t>格雷戈里·伯恩斯|杰克·H·普罗菲</t>
  </si>
  <si>
    <t>格雷戈里·伯恩斯</t>
  </si>
  <si>
    <t>EP20130835072</t>
  </si>
  <si>
    <t>Contention window value adaptive adjusting method and equipment</t>
  </si>
  <si>
    <t>Liu,Xiangfeng</t>
  </si>
  <si>
    <t>2012/09/05</t>
  </si>
  <si>
    <t>US2016/046035</t>
  </si>
  <si>
    <t>TECHNIQUES FOR CONTENTION WINDOW ADJUSTMENT FOR TRANSMISSIONS IN A SHARED RADIO FREQUENCY SPECTRUM BAND</t>
  </si>
  <si>
    <t>DAMNJANOVIC,Aleksandar|WANG,Qingsi|WENTINK,Maarten,Menzo|PAPALEO,Marco|YERRAMALLI,Srinivas|DABEER,Onkar,Jayant</t>
  </si>
  <si>
    <t>2015/08/10</t>
  </si>
  <si>
    <t>2016/08/08</t>
  </si>
  <si>
    <t>2017/02/16</t>
  </si>
  <si>
    <t>EP20110821051</t>
  </si>
  <si>
    <t>HU LIUJUN|BI FENG|ZHU CHANGQING</t>
  </si>
  <si>
    <t>HU LIUJUN</t>
  </si>
  <si>
    <t>2013/06/12</t>
  </si>
  <si>
    <t>EP20110856157</t>
  </si>
  <si>
    <t>Method and system for sharing audio and/or video</t>
  </si>
  <si>
    <t>ZHOU YUSHEN</t>
  </si>
  <si>
    <t>H04N21/4104</t>
  </si>
  <si>
    <t>0.49</t>
  </si>
  <si>
    <t>US2016/042128</t>
  </si>
  <si>
    <t>SWITCHING DISPLAY DEVICES IN VIDEO TELEPHONY</t>
  </si>
  <si>
    <t>MITTAL,Sanjeev|SINGH,Vikram|LEE,Tien-Hsin</t>
  </si>
  <si>
    <t>MITTAL,Sanjeev</t>
  </si>
  <si>
    <t>2016/07/13</t>
  </si>
  <si>
    <t>2017/01/26</t>
  </si>
  <si>
    <t>H04N  7/14</t>
  </si>
  <si>
    <t>EP20110761957</t>
  </si>
  <si>
    <t>HE FENG|AI JIANXUN|HUANG YADA|HAN LIFENG</t>
  </si>
  <si>
    <t>HE FENG</t>
  </si>
  <si>
    <t>2012/11/28</t>
  </si>
  <si>
    <t>H04L41/5009</t>
  </si>
  <si>
    <t>0.94</t>
  </si>
  <si>
    <t>EP20110774307</t>
  </si>
  <si>
    <t>Method and device for distributing and scheduling wireless resources in orthogonal frequency division multiplexing system</t>
  </si>
  <si>
    <t>DAI QIAN</t>
  </si>
  <si>
    <t>2010/04/28</t>
  </si>
  <si>
    <t>US2013/071157</t>
  </si>
  <si>
    <t>Enhanced control channel element (ecce) based physical downlink shared channel (pdsch) resource allocation for long-term evolution (lte)</t>
  </si>
  <si>
    <t>CHEN,Wanshi|JI,Tingfang|XU,Hao|GAAL,Peter</t>
  </si>
  <si>
    <t>2013/01/18</t>
  </si>
  <si>
    <t>EP20110768376</t>
  </si>
  <si>
    <t>Scheduling method and system</t>
  </si>
  <si>
    <t>CHEN SI</t>
  </si>
  <si>
    <t>2010/04/12</t>
  </si>
  <si>
    <t>US2014/014789</t>
  </si>
  <si>
    <t>Methods and apparatus for multi-subframe scheduling</t>
  </si>
  <si>
    <t>CHEN,Wanshi|LUO,Tao|GAAL,Peter|DAMNJANOVIC,Aleksandar</t>
  </si>
  <si>
    <t>2014/09/12</t>
  </si>
  <si>
    <t>EP20100837023</t>
  </si>
  <si>
    <t>Coordinated scheduling method and system in coordinated multi-point transmission</t>
  </si>
  <si>
    <t>TIAN KAIBO|LI FENG|ZHAO NAN|WEI MIN</t>
  </si>
  <si>
    <t>TIAN KAIBO</t>
  </si>
  <si>
    <t>2010/12/09</t>
  </si>
  <si>
    <t>2012/09/26</t>
  </si>
  <si>
    <t>US2014/057628</t>
  </si>
  <si>
    <t>Signal-processing circuit, circuit board, and projector</t>
  </si>
  <si>
    <t>CHANDE,Vinay|PATEL,Chirag Sureshbhai|KADOUS,Tamer Adel</t>
  </si>
  <si>
    <t>CHANDE,Vinay</t>
  </si>
  <si>
    <t>2014/09/26</t>
  </si>
  <si>
    <t>2015/04/02</t>
  </si>
  <si>
    <t>EP20100852777</t>
  </si>
  <si>
    <t>Control method and control apparatus for releasing memory</t>
  </si>
  <si>
    <t>YU XIN</t>
  </si>
  <si>
    <t>2010/11/05</t>
  </si>
  <si>
    <t>2012/09/19</t>
  </si>
  <si>
    <t>G06F  9/48</t>
  </si>
  <si>
    <t>G06F9/485</t>
  </si>
  <si>
    <t>US2014/012971</t>
  </si>
  <si>
    <t>Intelligent task manager using onboard sensors</t>
  </si>
  <si>
    <t>ANAND,Mohit|FORUTANPOUR,Babak|CHEUNG,Michelle M.|KERSSEN,Timothy K.</t>
  </si>
  <si>
    <t>ANAND,Mohit</t>
  </si>
  <si>
    <t>2013/02/12</t>
  </si>
  <si>
    <t>2014/01/24</t>
  </si>
  <si>
    <t>2014/08/21</t>
  </si>
  <si>
    <t>EP20110736610</t>
  </si>
  <si>
    <t>Method and system for authorizing management of terminals of internet of things</t>
  </si>
  <si>
    <t>XING XIAOJIANG</t>
  </si>
  <si>
    <t>2011/01/14</t>
  </si>
  <si>
    <t>4.28</t>
  </si>
  <si>
    <t>US2014/018313</t>
  </si>
  <si>
    <t>Emergency mode for iot devices</t>
  </si>
  <si>
    <t>EP20100819854</t>
  </si>
  <si>
    <t>Method and system for discontinuous reception (drx) configuration</t>
  </si>
  <si>
    <t>ZHANG JIAN|ZHANG YINCHENG|WANG GUANZHOU|CHEN SI</t>
  </si>
  <si>
    <t>ZHANG JIAN</t>
  </si>
  <si>
    <t>US2014/033202</t>
  </si>
  <si>
    <t>Discontinuous reception for multicarrier systems with flexible bandwidth carrier</t>
  </si>
  <si>
    <t>BARANY,Peter,Anthony</t>
  </si>
  <si>
    <t>2013/04/15</t>
  </si>
  <si>
    <t>2014/04/07</t>
  </si>
  <si>
    <t>2014/10/23</t>
  </si>
  <si>
    <t>EP20100819847</t>
  </si>
  <si>
    <t>Relay node and method thereof for transmitting data</t>
  </si>
  <si>
    <t>CHEN SI|ZHANG JIAN|ZHANG YINCHENG|WANG GUANZHOU</t>
  </si>
  <si>
    <t>4.10</t>
  </si>
  <si>
    <t>EP20100785663</t>
  </si>
  <si>
    <t>DENG YUN|SHI XIAOJUAN|HUANG YADA|CHEN ZHONGMING</t>
  </si>
  <si>
    <t>DENG YUN</t>
  </si>
  <si>
    <t>US2013/052593</t>
  </si>
  <si>
    <t>Differentiating measurement reporting mechanism</t>
  </si>
  <si>
    <t>KITAZOE,Masato|OTTE,Kurt William|SWAMINATHAN,Arvind</t>
  </si>
  <si>
    <t>KITAZOE,Masato</t>
  </si>
  <si>
    <t>EP20100801872</t>
  </si>
  <si>
    <t>Method and device for uplink retransmission decision</t>
  </si>
  <si>
    <t>BI MIN</t>
  </si>
  <si>
    <t>2009/07/21</t>
  </si>
  <si>
    <t>2010/04/09</t>
  </si>
  <si>
    <t>2012/03/28</t>
  </si>
  <si>
    <t>14/139,639</t>
  </si>
  <si>
    <t>Power grant use for HARQ retransmission</t>
  </si>
  <si>
    <t>EP20100769277</t>
  </si>
  <si>
    <t>Multi-antenna transmitting method and apparatus for sounding reference signal (srs)</t>
  </si>
  <si>
    <t>ZHANG RONG|HAO PENG|WANG YUXIN|ZHU PENG|ZHANG YUQIANG</t>
  </si>
  <si>
    <t>ZHANG RONG</t>
  </si>
  <si>
    <t>2012/03/07</t>
  </si>
  <si>
    <t>H04B7/06</t>
  </si>
  <si>
    <t>14/278,082</t>
  </si>
  <si>
    <t>Method for triggering terminal to send sounding reference signal, terminal, and base station</t>
  </si>
  <si>
    <t>Li; Qiang|Mazzarese; David</t>
  </si>
  <si>
    <t>2014/05/15</t>
  </si>
  <si>
    <t>EP20090841771</t>
  </si>
  <si>
    <t>HUANG CHUN|HUANG HE|ZHU HUIFEN</t>
  </si>
  <si>
    <t>HUANG CHUN</t>
  </si>
  <si>
    <t>EP20090824361</t>
  </si>
  <si>
    <t>Physical cell id allocation method and base station</t>
  </si>
  <si>
    <t>HAN LIFENG|GAO YIN</t>
  </si>
  <si>
    <t>HAN LIFENG</t>
  </si>
  <si>
    <t>14/618,850</t>
  </si>
  <si>
    <t>Self-configuration of a physical cell identity (PCI) at a cell</t>
  </si>
  <si>
    <t>Nagaraja; Sumeeth|Prakash; Rajat</t>
  </si>
  <si>
    <t>Nagaraja; Sumeeth</t>
  </si>
  <si>
    <t>EP20090793855</t>
  </si>
  <si>
    <t>A method and system for judging the activation of idle-mode signalling reduction function</t>
  </si>
  <si>
    <t>HU YING|ZHU JINGUO|ZONG ZAIFENG</t>
  </si>
  <si>
    <t>2009/07/09</t>
  </si>
  <si>
    <t>H04W28/06</t>
  </si>
  <si>
    <t>14/385,984</t>
  </si>
  <si>
    <t>Connected mode mobility between radio access networks</t>
  </si>
  <si>
    <t>Zhu; Xipeng|Pica; Francesco|Ramachandran; Shyamal|Griot; Miguel|Dhanda; Mungal Singh|Kitazoe; Masato|Granzow; Wolfgang|Gholmieh; Aziz</t>
  </si>
  <si>
    <t>2012/04/01</t>
  </si>
  <si>
    <t>EP20090793849</t>
  </si>
  <si>
    <t>Method and corresponding terminal for association relationship updating</t>
  </si>
  <si>
    <t>2008/07/10</t>
  </si>
  <si>
    <t>2011/03/02</t>
  </si>
  <si>
    <t>13/165,694</t>
  </si>
  <si>
    <t>System, apparatus, and method for circuit switched fallback reliability in wireless communication systems</t>
  </si>
  <si>
    <t>Ramachandran; Shyamal|Klingenbrunn; Thomas|Griot; Miguel</t>
  </si>
  <si>
    <t>EP20080874161</t>
  </si>
  <si>
    <t>User device validation method, device identification register and access control system</t>
  </si>
  <si>
    <t>LU JIE|LIN ZHAOJI|HU JIE</t>
  </si>
  <si>
    <t>LU JIE</t>
  </si>
  <si>
    <t>0.64</t>
  </si>
  <si>
    <t>US2015/051532</t>
  </si>
  <si>
    <t>SUPPORT BLACKLISTING DEVICES ON WLAN ACCESS</t>
  </si>
  <si>
    <t>ZHAO,Suli|PARADKAR,Vinay|VEEREPALLI,Sivaramakrishna</t>
  </si>
  <si>
    <t>2016/03/31</t>
  </si>
  <si>
    <t>EP20080757684</t>
  </si>
  <si>
    <t>Method for notifying cell change information</t>
  </si>
  <si>
    <t>GAO YIN|FEI TENG</t>
  </si>
  <si>
    <t>GAO YIN</t>
  </si>
  <si>
    <t>US2013/074419</t>
  </si>
  <si>
    <t>Expanded neighbor list for cell reselection</t>
  </si>
  <si>
    <t>TSAI,Shiau-He|CHEN,Qingxin|CHIN,Tom</t>
  </si>
  <si>
    <t>TSAI,Shiau-He</t>
  </si>
  <si>
    <t>EP20090702409</t>
  </si>
  <si>
    <t>ZHANG YINCHENG|RUI HUA</t>
  </si>
  <si>
    <t>US2013/046586</t>
  </si>
  <si>
    <t>Methods and apparatus for aligning voice coder and scheduling timing</t>
  </si>
  <si>
    <t>EHSAN,Navid|KLINGENBRUNN,Thomas|WANG,Min|AMINZADEH GOHARI,Amir</t>
  </si>
  <si>
    <t>EHSAN,Navid</t>
  </si>
  <si>
    <t>2012/06/22</t>
  </si>
  <si>
    <t>2013/06/19</t>
  </si>
  <si>
    <t>2013/12/27</t>
  </si>
  <si>
    <t>EP20060775407</t>
  </si>
  <si>
    <t>Method of configuring and searching high speed shared control channel of multi carrier cell</t>
  </si>
  <si>
    <t>MA ZIJIANG|MA ZHIFENG|ZHANG YINCHENG|ZHENG YONGQIANG</t>
  </si>
  <si>
    <t>US2013/028455</t>
  </si>
  <si>
    <t>Hs-scch and hs-sich allocation and monitoring in td-scdma multi-carrier systems</t>
  </si>
  <si>
    <t>YANG MING [US]|CHIN TOM [US]|CHEN QINGXIN [US]|SHI GUANGMING [US]</t>
  </si>
  <si>
    <t>YANG MING [US]</t>
  </si>
  <si>
    <t>EP20010274866</t>
  </si>
  <si>
    <t>Equipment and method of call admission in cdma based system</t>
  </si>
  <si>
    <t>HUANG CHAO</t>
  </si>
  <si>
    <t>2001/12/06</t>
  </si>
  <si>
    <t>2004/09/29</t>
  </si>
  <si>
    <t>5.14</t>
  </si>
  <si>
    <t>US2013/042112</t>
  </si>
  <si>
    <t>Method and system for controlling uplink interference in heterogeneous networks</t>
  </si>
  <si>
    <t>CELEBI,Samel|POLAK,Adam Cezary|BLESSENT,Luca</t>
  </si>
  <si>
    <t>CELEBI,Samel</t>
  </si>
  <si>
    <t>2013/11/28</t>
  </si>
  <si>
    <t>CN201210150450.X</t>
  </si>
  <si>
    <t>传输模式的选择方法及装置</t>
  </si>
  <si>
    <t>陈国峰|姚春峰</t>
  </si>
  <si>
    <t>陈国峰</t>
  </si>
  <si>
    <t>2012/05/15</t>
  </si>
  <si>
    <t>14/539,541</t>
  </si>
  <si>
    <t>Updates to MU-MIMO rate adaptation algorithm</t>
  </si>
  <si>
    <t>2014/11/12</t>
  </si>
  <si>
    <t>CN201210143190.3</t>
  </si>
  <si>
    <t>信道状态信息的配置方法、反馈方法、基站和终端</t>
  </si>
  <si>
    <t>郭森宝|孙云锋|李儒岳|张峻峰</t>
  </si>
  <si>
    <t>郭森宝</t>
  </si>
  <si>
    <t>2013/11/13</t>
  </si>
  <si>
    <t>CN2015/070179</t>
  </si>
  <si>
    <t>MULTIPLE SUBFRAME SET CSI FEEDBACK</t>
  </si>
  <si>
    <t>高通|CHEN,Wanshi|WEI,Chao|WANG,Neng|XU,Hao|GAAL,Peter</t>
  </si>
  <si>
    <t>高通|chen wanshi|wei chao|wang neng|xu hao|gaal peter</t>
  </si>
  <si>
    <t>CHEN,Wanshi|WEI,Chao|WANG,Neng|XU,Hao|GAAL,Peter</t>
  </si>
  <si>
    <t>2015/07/16</t>
  </si>
  <si>
    <t>CN201110273139.X</t>
  </si>
  <si>
    <t>一种HSDPA业务媒体接入控制窗口的配置方法和系统</t>
  </si>
  <si>
    <t>刘琛</t>
  </si>
  <si>
    <t>2011/09/15</t>
  </si>
  <si>
    <t>US2015/018048</t>
  </si>
  <si>
    <t>TECHNIQUES FOR WINDOW SIZE CONFIGURATION</t>
  </si>
  <si>
    <t>KANAMARLAPUDI,Sitaramanjaneyulu|CHAKRAVARTHY,Chetan Gopalakrishnan|SHI,Yongsheng|GUPTA,Vagish</t>
  </si>
  <si>
    <t>KANAMARLAPUDI,Sitaramanjaneyulu</t>
  </si>
  <si>
    <t>2014/03/24</t>
  </si>
  <si>
    <t>2015/02/27</t>
  </si>
  <si>
    <t>2015/10/01</t>
  </si>
  <si>
    <t>CN201110233110.9</t>
  </si>
  <si>
    <t>共享网络中用户数据的方法和身份提供服务器</t>
  </si>
  <si>
    <t>韦银星|符涛|吴强</t>
  </si>
  <si>
    <t>韦银星</t>
  </si>
  <si>
    <t>2013/02/20</t>
  </si>
  <si>
    <t>CN201380024140.6</t>
  </si>
  <si>
    <t>用于社交网络的基于用户的识别系统</t>
  </si>
  <si>
    <t>安妮·卡特琳·科纳茨|尼科罗·A·帕多瓦尼</t>
  </si>
  <si>
    <t>安妮·卡特琳·科纳茨</t>
  </si>
  <si>
    <t>2013/04/17</t>
  </si>
  <si>
    <t>CN201110182355.3</t>
  </si>
  <si>
    <t>一种上行测量参考信号发送控制方法和用户设备</t>
  </si>
  <si>
    <t>林志嵘|夏树强|戴博|任璐</t>
  </si>
  <si>
    <t>林志嵘</t>
  </si>
  <si>
    <t>2013/01/02</t>
  </si>
  <si>
    <t>H04W 52/30</t>
  </si>
  <si>
    <t>CN2014/080922</t>
  </si>
  <si>
    <t>CONTROL CHANNEL POWER ALLOCATION OPTIMIZATION</t>
  </si>
  <si>
    <t>高通|LI,Gaoshan|XIE,Yong|GUAN,Xuepan|LI,Xiaopeng</t>
  </si>
  <si>
    <t>高通|li gaoshan|xie yong|guan xuepan|li xiaopeng</t>
  </si>
  <si>
    <t>LI,Gaoshan|XIE,Yong|GUAN,Xuepan|LI,Xiaopeng</t>
  </si>
  <si>
    <t>LI,Gaoshan</t>
  </si>
  <si>
    <t>CN201110119089.X</t>
  </si>
  <si>
    <t>一种切换方法及系统</t>
  </si>
  <si>
    <t>毕以峰|周娜|张世伟|骆文</t>
  </si>
  <si>
    <t>毕以峰</t>
  </si>
  <si>
    <t>CN2014/000008</t>
  </si>
  <si>
    <t>APPARATUS AND METHOD FOR AVOIDING DATA LOSS FOLLOWING AN INTER-PDSN HANDOFF BASED ON A SIMPLE IP NETWORK</t>
  </si>
  <si>
    <t>高通|ZHANG,Weiye|SONG,Haichao</t>
  </si>
  <si>
    <t>高通|zhang weiye|song haichao</t>
  </si>
  <si>
    <t>ZHANG,Weiye|SONG,Haichao</t>
  </si>
  <si>
    <t>ZHANG,Weiye</t>
  </si>
  <si>
    <t>2015/07/09</t>
  </si>
  <si>
    <t>H04W 36/12</t>
  </si>
  <si>
    <t>CN201110088573.0</t>
  </si>
  <si>
    <t>实现多媒体广播多播业务连续性的方法、用户设备及系统</t>
  </si>
  <si>
    <t>许辉|马子江|李大鹏</t>
  </si>
  <si>
    <t>许辉</t>
  </si>
  <si>
    <t>0.73</t>
  </si>
  <si>
    <t>CN2014/089276</t>
  </si>
  <si>
    <t>SERVICE CONTINUITY FOR GROUP COMMUNICATIONS OVER EVOLVED MULTIMEDIA BROADCAST MULTICAST SERVICE</t>
  </si>
  <si>
    <t>高通|ZHU,Xipeng|WANG,Jun|ZHANG,Xiaoxia</t>
  </si>
  <si>
    <t>高通|zhu xipeng|wang jun|zhang xiaoxia</t>
  </si>
  <si>
    <t>ZHU,Xipeng|WANG,Jun|ZHANG,Xiaoxia</t>
  </si>
  <si>
    <t>2013/10/30</t>
  </si>
  <si>
    <t>2015/05/07</t>
  </si>
  <si>
    <t>CN201210068113.6</t>
  </si>
  <si>
    <t>一种实现MBMS业务连续性的方法、系统和用户设备</t>
  </si>
  <si>
    <t>卢忱|许辉|马子江|王斌|孙清波|谢芳</t>
  </si>
  <si>
    <t>卢忱</t>
  </si>
  <si>
    <t>2.27</t>
  </si>
  <si>
    <t>CN201110066942.6</t>
  </si>
  <si>
    <t>一种移动终端组的管理方法和系统</t>
  </si>
  <si>
    <t>周成</t>
  </si>
  <si>
    <t>CN2013/075646</t>
  </si>
  <si>
    <t>Group bearer and bearer selection for multicast/broadcast data transmissions</t>
  </si>
  <si>
    <t>CN201110025620.7</t>
  </si>
  <si>
    <t>一种用户终端及多载波系统中接收业务数据的方法</t>
  </si>
  <si>
    <t>苟伟|马子江|杜晓|毕峰</t>
  </si>
  <si>
    <t>苟伟</t>
  </si>
  <si>
    <t>2011/01/24</t>
  </si>
  <si>
    <t>0.69</t>
  </si>
  <si>
    <t>CN2014/074656</t>
  </si>
  <si>
    <t>Service continuity with embms support on non-self-standing carrier frequency</t>
  </si>
  <si>
    <t>高通|ZHANG,Xiaoxia|WANG,Jun|ZHU,Xipeng</t>
  </si>
  <si>
    <t>高通|zhang xiaoxia|wang jun|zhu xipeng</t>
  </si>
  <si>
    <t>ZHANG,Xiaoxia|WANG,Jun|ZHU,Xipeng</t>
  </si>
  <si>
    <t>2014/04/02</t>
  </si>
  <si>
    <t>CN201110008743.X</t>
  </si>
  <si>
    <t>一种配置MBMS业务信息的方法及装置</t>
  </si>
  <si>
    <t>苟伟|马子江|杜晓|郭森宝</t>
  </si>
  <si>
    <t>2011/01/17</t>
  </si>
  <si>
    <t>CN2013/073764</t>
  </si>
  <si>
    <t>Service continuity with embms support on nct</t>
  </si>
  <si>
    <t>CN201110007158.8</t>
  </si>
  <si>
    <t>数据传输方法、装置及系统</t>
  </si>
  <si>
    <t>陈思</t>
  </si>
  <si>
    <t>CN2013/080330</t>
  </si>
  <si>
    <t>DYNAMIC INDICATION OF TIME DIVISION (TDD)DUPLEX UPLINK/DOWNLINK SUBFRAME CONFIGURATIONS</t>
  </si>
  <si>
    <t>高通|CHEN,Wanshi|XU,Hao|GAAL,Peter|WANG,Neng|WEI,Chao|FENG,Minghai</t>
  </si>
  <si>
    <t>高通|chen wanshi|xu hao|gaal peter|wang neng|wei chao|feng minghai</t>
  </si>
  <si>
    <t>CHEN,Wanshi|XU,Hao|GAAL,Peter|WANG,Neng|WEI,Chao|FENG,Minghai</t>
  </si>
  <si>
    <t>CN201010515078.9</t>
  </si>
  <si>
    <t>一种基站节能控制方法及系统</t>
  </si>
  <si>
    <t>林树功|刘俊强|程翔</t>
  </si>
  <si>
    <t>林树功</t>
  </si>
  <si>
    <t>13/737,828</t>
  </si>
  <si>
    <t>Methods and apparatus for controlling access points coupled to a common power source</t>
  </si>
  <si>
    <t>Li; Junyi|Park; Vincent D.|Wang; Jin-Der</t>
  </si>
  <si>
    <t>CN201110178783.9</t>
  </si>
  <si>
    <t>基站、服务模式选择方法及预编码矩阵的反馈方法</t>
  </si>
  <si>
    <t>李子荣|朱登魁|焦晓晓|鲁照华</t>
  </si>
  <si>
    <t>李子荣</t>
  </si>
  <si>
    <t>CN2013/085162</t>
  </si>
  <si>
    <t>Flexible elevation beamforming</t>
  </si>
  <si>
    <t>高通|WEI,Chao|CHENG,Peng|HOU,Jilei</t>
  </si>
  <si>
    <t>高通|wei chao|cheng peng|hou jilei</t>
  </si>
  <si>
    <t>WEI,Chao|CHENG,Peng|HOU,Jilei</t>
  </si>
  <si>
    <t>2013/10/14</t>
  </si>
  <si>
    <t>CN201110306308.5</t>
  </si>
  <si>
    <t>加快公共陆地移动网络搜网速度的方法及装置</t>
  </si>
  <si>
    <t>朱广卿</t>
  </si>
  <si>
    <t>2012/02/15</t>
  </si>
  <si>
    <t>1.52</t>
  </si>
  <si>
    <t>CN2013/079788</t>
  </si>
  <si>
    <t>Method and apparatus for improving frequency scanning during cell acquisition in a td-scdma system</t>
  </si>
  <si>
    <t>高通|TSAI,Shiau-He|CHEN,Qingxin|MAO,Jie|KANG,Insung</t>
  </si>
  <si>
    <t>高通|tsai shiau he|chen qingxin|mao jie|kang insung</t>
  </si>
  <si>
    <t>TSAI,Shiau-He|CHEN,Qingxin|MAO,Jie|KANG,Insung</t>
  </si>
  <si>
    <t>CN201110218399.7</t>
  </si>
  <si>
    <t>TDD系统中进行数据传输的基站、终端、系统及方法</t>
  </si>
  <si>
    <t>郝鹏|戴博|喻斌</t>
  </si>
  <si>
    <t>郝鹏</t>
  </si>
  <si>
    <t>15.30</t>
  </si>
  <si>
    <t>CN2013/000043</t>
  </si>
  <si>
    <t>Method, apparatus and computer program product for determining uplink resources for transmitting harqack in tdd ul-dl reconfiguration</t>
  </si>
  <si>
    <t>高通|WEI,Chao|WANG,Neng|CHENG,Peng|HOU,Jilei</t>
  </si>
  <si>
    <t>高通|wei chao|wang neng|cheng peng|hou jilei</t>
  </si>
  <si>
    <t>WEI,Chao|WANG,Neng|CHENG,Peng|HOU,Jilei</t>
  </si>
  <si>
    <t>CN201110329812.7</t>
  </si>
  <si>
    <t>终端通话时的处理方法、终端以及处理系统</t>
  </si>
  <si>
    <t>张永亮</t>
  </si>
  <si>
    <t>2.68</t>
  </si>
  <si>
    <t>13/479,258</t>
  </si>
  <si>
    <t>Systems and methods for group communication using a mobile device using motion and voice activate controls</t>
  </si>
  <si>
    <t>Lindner; Mark A.|Subbaramoo; Shobha M.</t>
  </si>
  <si>
    <t>Lindner; Mark A.</t>
  </si>
  <si>
    <t>2012/05/23</t>
  </si>
  <si>
    <t>H04L65/4046</t>
  </si>
  <si>
    <t>CN201110178726.0</t>
  </si>
  <si>
    <t>检测非法终端的方法及装置</t>
  </si>
  <si>
    <t>韩碧霞|高淑美|孙振飞|吴东磊|谭旭</t>
  </si>
  <si>
    <t>韩碧霞</t>
  </si>
  <si>
    <t>2012/01/18</t>
  </si>
  <si>
    <t>H04W 12/12</t>
  </si>
  <si>
    <t>CN2012/080033</t>
  </si>
  <si>
    <t>Anti-uicc-card-fraud detection and control for terminals accessing hrpd and ehrpd networks</t>
  </si>
  <si>
    <t>高通|DU,Zhimin|ZHANG,Wentao|LI,Yan</t>
  </si>
  <si>
    <t>高通|du zhimin|zhang wentao|li yan</t>
  </si>
  <si>
    <t>DU,Zhimin|ZHANG,Wentao|LI,Yan</t>
  </si>
  <si>
    <t>DU,Zhimin</t>
  </si>
  <si>
    <t>2012/08/13</t>
  </si>
  <si>
    <t>2014/02/20</t>
  </si>
  <si>
    <t>CN201010169829.6</t>
  </si>
  <si>
    <t>一种增强单接入语音业务连续性的通信系统及方法</t>
  </si>
  <si>
    <t>陶全军|谢振华|游世林|王鸿彦</t>
  </si>
  <si>
    <t>陶全军</t>
  </si>
  <si>
    <t>2011/11/16</t>
  </si>
  <si>
    <t>1.73</t>
  </si>
  <si>
    <t>CN2012/075261</t>
  </si>
  <si>
    <t>Providing packet switched registration information to facilitate handover from a circuit switched network</t>
  </si>
  <si>
    <t>高通|RAMACHANDRAN,Shyamal|ZHU,Xipeng|GRIOT,Miguel|MAHENDRAN,AC C.|CHAPONNIERE,Lenaig G.</t>
  </si>
  <si>
    <t>高通|ramachandran shyamal|zhu xipeng|griot miguel|mahendran ac c|chaponniere lenaig g</t>
  </si>
  <si>
    <t>RAMACHANDRAN,Shyamal|ZHU,Xipeng|GRIOT,Miguel|MAHENDRAN,AC C.|CHAPONNIERE,Lenaig G.</t>
  </si>
  <si>
    <t>H04W  8/08</t>
  </si>
  <si>
    <t>CN201110149510.1</t>
  </si>
  <si>
    <t>一种动态频谱共享系统及方法</t>
  </si>
  <si>
    <t>费腾|许玲|姚强|高音</t>
  </si>
  <si>
    <t>费腾</t>
  </si>
  <si>
    <t>2011/06/03</t>
  </si>
  <si>
    <t>2011/10/19</t>
  </si>
  <si>
    <t>CN2013/078797</t>
  </si>
  <si>
    <t>IMPROVING COMMUNICATIONS ASSOCIATED WITH USER EQUIPMENT CAPABLE OF COMMUNICATING WITH MULTIPLE RADIO ACCESS TECHNOLOGIES</t>
  </si>
  <si>
    <t>高通|ZHU,Xipeng|WANG,Jun|ZHANG,Xiaoxia|SHAHIDI,Reza|ZHENG,Ruiming|WU,Liangming</t>
  </si>
  <si>
    <t>高通|zhu xipeng|wang jun|zhang xiaoxia|shahidi reza|zheng ruiming|wu liangming</t>
  </si>
  <si>
    <t>ZHU,Xipeng|WANG,Jun|ZHANG,Xiaoxia|SHAHIDI,Reza|ZHENG,Ruiming|WU,Liangming</t>
  </si>
  <si>
    <t>2013/07/04</t>
  </si>
  <si>
    <t>2015/01/08</t>
  </si>
  <si>
    <t>CN201110139463.2</t>
  </si>
  <si>
    <t>语音呼叫处理方法及业务连续性服务器</t>
  </si>
  <si>
    <t>周蓝粢|高扬</t>
  </si>
  <si>
    <t>周蓝粢</t>
  </si>
  <si>
    <t>CN201010170171.0</t>
  </si>
  <si>
    <t>一种业务流管理方法</t>
  </si>
  <si>
    <t>李楠|刘扬|陈玉芹|方惠英|谢峰|陈琳</t>
  </si>
  <si>
    <t>李楠</t>
  </si>
  <si>
    <t>CN2012/082520</t>
  </si>
  <si>
    <t>Broadcast/multicast used for m2m/mtc</t>
  </si>
  <si>
    <t>高通|WANG,Jun|PAZOS,Carlos M.D.|VEEREPALLI,Sivaramakrishna|KRISHNASWAMY,Dilip|ZHU,Xipeng|GRIOT,Miguel|KHATIBI,Farrokh|MAHENDRAN,Arungundram Chandrasekaran</t>
  </si>
  <si>
    <t>高通|wang jun|pazos carlos m d|veerepalli sivaramakrishna|krishnaswamy dilip|zhu xipeng|griot miguel|khatibi farrokh|mahendran arungundram chandrasekaran</t>
  </si>
  <si>
    <t>WANG,Jun|PAZOS,Carlos M.D.|VEEREPALLI,Sivaramakrishna|KRISHNASWAMY,Dilip|ZHU,Xipeng|GRIOT,Miguel|KHATIBI,Farrokh|MAHENDRAN,Arungundram Chandrasekaran</t>
  </si>
  <si>
    <t>2012/10/03</t>
  </si>
  <si>
    <t>CN201010122216.7</t>
  </si>
  <si>
    <t>一种M2M业务组资源配置和分配的方法及系统</t>
  </si>
  <si>
    <t>方惠英</t>
  </si>
  <si>
    <t>2.67</t>
  </si>
  <si>
    <t>TW103106313</t>
  </si>
  <si>
    <t>建立物联网（ＩＯＴ）器件之群组及致能ＩＯＴ器件之群组中的通信</t>
  </si>
  <si>
    <t>高尔　艾密特|舒曼　莫汉麦德　阿塔尔　瑞曼|格帕塔　伯尼塔|阿加瓦尔　阿舒托什|夏玛　山迪普|贾安克　雷凡达　保罗|魁达利亚　大卫　伊萨克|奎达利亚　贾寇柏</t>
  </si>
  <si>
    <t>高尔　艾密特</t>
  </si>
  <si>
    <t>CN201020644010.6</t>
  </si>
  <si>
    <t>一种利用压电模块充电的手机</t>
  </si>
  <si>
    <t>王朋刚</t>
  </si>
  <si>
    <t>2010/12/06</t>
  </si>
  <si>
    <t>2011/08/10</t>
  </si>
  <si>
    <t>H04M  1/02</t>
  </si>
  <si>
    <t>13/571,212</t>
  </si>
  <si>
    <t>Apparatus and method for charging a mobile device</t>
  </si>
  <si>
    <t>Shen; Jian|Yang; Tongzeng</t>
  </si>
  <si>
    <t>Shen; Jian</t>
  </si>
  <si>
    <t>H01L</t>
  </si>
  <si>
    <t>H01L 41/113</t>
  </si>
  <si>
    <t>CN200910261210.5</t>
  </si>
  <si>
    <t>一种修正信道质量指示的方法和装置</t>
  </si>
  <si>
    <t>褚金涛</t>
  </si>
  <si>
    <t>3.36</t>
  </si>
  <si>
    <t>CN2013/072726</t>
  </si>
  <si>
    <t>Predicting channel state</t>
  </si>
  <si>
    <t>高通|ABRISHAMKAR,Farrokh|JIN,Chao|KANG,Insung|BOPPANA,Surendra</t>
  </si>
  <si>
    <t>高通|abrishamkar farrokh|jin chao|kang insung|boppana surendra</t>
  </si>
  <si>
    <t>ABRISHAMKAR,Farrokh|JIN,Chao|KANG,Insung|BOPPANA,Surendra</t>
  </si>
  <si>
    <t>ABRISHAMKAR,Farrokh</t>
  </si>
  <si>
    <t>CN200910252498.X</t>
  </si>
  <si>
    <t>一种多天线干扰抑制合并的方法及装置</t>
  </si>
  <si>
    <t>陈亮</t>
  </si>
  <si>
    <t>CN2012/083192</t>
  </si>
  <si>
    <t>Td-scdma multimode receiver</t>
  </si>
  <si>
    <t>高通|ZHAO,Wanlun|KANG,Insung|SHEN,Qiang|HOU,Jilei|CHEN,Jinghu</t>
  </si>
  <si>
    <t>高通|zhao wanlun|kang insung|shen qiang|hou jilei|chen jinghu</t>
  </si>
  <si>
    <t>ZHAO,Wanlun|KANG,Insung|SHEN,Qiang|HOU,Jilei|CHEN,Jinghu</t>
  </si>
  <si>
    <t>ZHAO,Wanlun</t>
  </si>
  <si>
    <t>2012/10/19</t>
  </si>
  <si>
    <t>CN200910109848.7</t>
  </si>
  <si>
    <t>一种终端测量时间调度的方法和终端</t>
  </si>
  <si>
    <t>陈林</t>
  </si>
  <si>
    <t>13/612,475</t>
  </si>
  <si>
    <t>Using downlink TFCI to generate a larger idle interval</t>
  </si>
  <si>
    <t>Zhou; Heng|Chin; Tom</t>
  </si>
  <si>
    <t>Zhou; Heng</t>
  </si>
  <si>
    <t>CN200910177983.5</t>
  </si>
  <si>
    <t>一种获取MTC服务器地址信息的方法及系统</t>
  </si>
  <si>
    <t>曲爱妍|李志军|谢宝国</t>
  </si>
  <si>
    <t>7.9</t>
  </si>
  <si>
    <t>CN201380024843.9</t>
  </si>
  <si>
    <t>用于远程凭证管理的系统和方法</t>
  </si>
  <si>
    <t>A·帕拉尼恭德尔</t>
  </si>
  <si>
    <t>2012/05/14</t>
  </si>
  <si>
    <t>CN200910174822.0</t>
  </si>
  <si>
    <t>演进的分组域系统网络电路交换回落的实现系统及方法</t>
  </si>
  <si>
    <t>陶全军|谢振华</t>
  </si>
  <si>
    <t>2009/10/17</t>
  </si>
  <si>
    <t>CN2013/071269</t>
  </si>
  <si>
    <t>Single radio tune-away for lte voice without csfb</t>
  </si>
  <si>
    <t>高通|ZHU,Xipeng|SHAHIDI,Reza|RAMACHANDRAN,Shyamal|GRIOT,Miguel</t>
  </si>
  <si>
    <t>高通|zhu xipeng|shahidi reza|ramachandran shyamal|griot miguel</t>
  </si>
  <si>
    <t>ZHU,Xipeng|SHAHIDI,Reza|RAMACHANDRAN,Shyamal|GRIOT,Miguel</t>
  </si>
  <si>
    <t>2013/02/01</t>
  </si>
  <si>
    <t>H04L 12/64</t>
  </si>
  <si>
    <t>CN200910178759.8</t>
  </si>
  <si>
    <t>复帧同步的获取方法及装置</t>
  </si>
  <si>
    <t>程健</t>
  </si>
  <si>
    <t>CN2012/077890</t>
  </si>
  <si>
    <t>Td-scdma rscp measurement correlation</t>
  </si>
  <si>
    <t>高通|KANG,Ming|KHANDEKAR,Aamod Dinkar|SHEN,Qiang|FERTONANI,Dario|KANG,Insung|TSAI,Shiau-He|CHEN,Qingxin|JIN,Chao</t>
  </si>
  <si>
    <t>高通|kang ming|khandekar aamod dinkar|shen qiang|fertonani dario|kang insung|tsai shiau he|chen qingxin|jin chao</t>
  </si>
  <si>
    <t>KANG,Ming|KHANDEKAR,Aamod Dinkar|SHEN,Qiang|FERTONANI,Dario|KANG,Insung|TSAI,Shiau-He|CHEN,Qingxin|JIN,Chao</t>
  </si>
  <si>
    <t>KANG,Ming</t>
  </si>
  <si>
    <t>CN200910178104.0</t>
  </si>
  <si>
    <t>地址管理方法、装置和系统</t>
  </si>
  <si>
    <t>冷通|冯军|叶志宁|高露</t>
  </si>
  <si>
    <t>冷通</t>
  </si>
  <si>
    <t>CN2012/082523</t>
  </si>
  <si>
    <t>Method and apparatus using high-efficiency atomic operations</t>
  </si>
  <si>
    <t>高通|TIAN,Zhixin|HE,Yunfeng</t>
  </si>
  <si>
    <t>高通|tian zhixin|he yunfeng</t>
  </si>
  <si>
    <t>TIAN,Zhixin|HE,Yunfeng</t>
  </si>
  <si>
    <t>TIAN,Zhixin</t>
  </si>
  <si>
    <t>2012/10/04</t>
  </si>
  <si>
    <t>CN200910171695.9</t>
  </si>
  <si>
    <t>一种动态配置上行导频信道的方法及装置</t>
  </si>
  <si>
    <t>许靖|江海</t>
  </si>
  <si>
    <t>许靖</t>
  </si>
  <si>
    <t>2009/09/08</t>
  </si>
  <si>
    <t>2011/04/13</t>
  </si>
  <si>
    <t>CN200910166868.8</t>
  </si>
  <si>
    <t>多媒体广播多播业务能力通知方法及漂移无线网络控制器</t>
  </si>
  <si>
    <t>肖述超|史莉荣</t>
  </si>
  <si>
    <t>肖述超</t>
  </si>
  <si>
    <t>13/441,771</t>
  </si>
  <si>
    <t>Systems and methods for implementing multicasting using personal area network “pan” wireless technology</t>
  </si>
  <si>
    <t>Redding; Brian A.</t>
  </si>
  <si>
    <t>2012/04/06</t>
  </si>
  <si>
    <t>2017/01/17</t>
  </si>
  <si>
    <t>H04L12/1827</t>
  </si>
  <si>
    <t>CN200910161575.0</t>
  </si>
  <si>
    <t>多媒体广播和组播业务动态调度信息的发送方法和装置</t>
  </si>
  <si>
    <t>王斌|马子江</t>
  </si>
  <si>
    <t>王斌</t>
  </si>
  <si>
    <t>2009/08/04</t>
  </si>
  <si>
    <t>13/483,679</t>
  </si>
  <si>
    <t>Group communications over evolved multimedia broadcast/multicast services</t>
  </si>
  <si>
    <t>Song; Bongyong|Lin; Yih-Hao|Maggenti; Mark A.|Anchan; Kirankumar</t>
  </si>
  <si>
    <t>2016/11/08</t>
  </si>
  <si>
    <t>CN200910090231.5</t>
  </si>
  <si>
    <t>一种实现定位业务的方法及装置</t>
  </si>
  <si>
    <t>2009/08/03</t>
  </si>
  <si>
    <t>0.85</t>
  </si>
  <si>
    <t>13/442,734</t>
  </si>
  <si>
    <t>Method for providing network-based measurements for user equipment-based positioning</t>
  </si>
  <si>
    <t>Fischer; Sven|Edge; Stephen W.</t>
  </si>
  <si>
    <t>2012/04/09</t>
  </si>
  <si>
    <t>H04W4/20</t>
  </si>
  <si>
    <t>CN200910164954.5</t>
  </si>
  <si>
    <t>一种测量多模终端的空间接收灵敏度的系统及方法</t>
  </si>
  <si>
    <t>彭宏利|黄旭|禹忠</t>
  </si>
  <si>
    <t>彭宏利</t>
  </si>
  <si>
    <t>2009/07/28</t>
  </si>
  <si>
    <t>3.7</t>
  </si>
  <si>
    <t>CN201280045765.6</t>
  </si>
  <si>
    <t>具有可变耦合因数的天线功率耦合器</t>
  </si>
  <si>
    <t>P·阿库拉|D·马尔多纳多|K·H·H·王</t>
  </si>
  <si>
    <t>P·阿库拉</t>
  </si>
  <si>
    <t>2011/09/20</t>
  </si>
  <si>
    <t>CN201010504362.6</t>
  </si>
  <si>
    <t>通用分组无线服务支持节点与信令传输方法</t>
  </si>
  <si>
    <t>李飞|陈福志</t>
  </si>
  <si>
    <t>李飞</t>
  </si>
  <si>
    <t>2010/10/11</t>
  </si>
  <si>
    <t>13/043,202</t>
  </si>
  <si>
    <t>Providing multiple retransmission policies for a single data stream by mapping differentiated services code point (DSCP) bit fields to media access control protocol data unit (MPDU) bit fields</t>
  </si>
  <si>
    <t>Wentink; Maarten Menzo</t>
  </si>
  <si>
    <t>H04L1/1877</t>
  </si>
  <si>
    <t>CN200910160114.1</t>
  </si>
  <si>
    <t>定位信息的发送方法与装置</t>
  </si>
  <si>
    <t>吴昊</t>
  </si>
  <si>
    <t>2009/07/20</t>
  </si>
  <si>
    <t>2.6</t>
  </si>
  <si>
    <t>CN200910164508.4</t>
  </si>
  <si>
    <t>用于码分多址接入系统的终端管理方法、终端和系统</t>
  </si>
  <si>
    <t>徐维江|张志辉|白炜</t>
  </si>
  <si>
    <t>徐维江</t>
  </si>
  <si>
    <t>2009/07/06</t>
  </si>
  <si>
    <t>13/316,401</t>
  </si>
  <si>
    <t>Apparatus and method for controlling wireless network access</t>
  </si>
  <si>
    <t>Zaidi; Saad|Singh; Ishwinder|Veerepalli; Sivaramakrishna</t>
  </si>
  <si>
    <t>Zaidi; Saad</t>
  </si>
  <si>
    <t>2011/12/09</t>
  </si>
  <si>
    <t>CN201010251681.0</t>
  </si>
  <si>
    <t>一种选择物理上行共享信道的方法及用户设备</t>
  </si>
  <si>
    <t>朱鹏|戴博|梁春丽|杨维维|喻斌</t>
  </si>
  <si>
    <t>朱鹏</t>
  </si>
  <si>
    <t>CN201010262755.0</t>
  </si>
  <si>
    <t>信道状态信息的反馈方法及装置</t>
  </si>
  <si>
    <t>李儒岳|徐前子|徐俊|陈艺戬|张峻峰</t>
  </si>
  <si>
    <t>4.90</t>
  </si>
  <si>
    <t>13/359,154</t>
  </si>
  <si>
    <t>Feedback reporting based on channel state information reference signal (CSI-RS) groups</t>
  </si>
  <si>
    <t>Geirhofer; Stefan|Luo; Tao|Chen; Wanshi|Gaal; Peter|Xu; Hao|Bhattad; Kapil|Ji; Tingfang</t>
  </si>
  <si>
    <t>H04L 12/22</t>
  </si>
  <si>
    <t>CN201010238560.2</t>
  </si>
  <si>
    <t>请求消息的处理方法和系统</t>
  </si>
  <si>
    <t>卢艳</t>
  </si>
  <si>
    <t>13/972,791</t>
  </si>
  <si>
    <t>Exchanging rich communication suite capability information in a communications system</t>
  </si>
  <si>
    <t>Suryavanshi; Vijay A.</t>
  </si>
  <si>
    <t>2013/08/21</t>
  </si>
  <si>
    <t>H04W 60/00</t>
  </si>
  <si>
    <t>CN201010216744.9</t>
  </si>
  <si>
    <t>一种实现多方视频共享的方法和系统</t>
  </si>
  <si>
    <t>陈昌乾|白天</t>
  </si>
  <si>
    <t>陈昌乾</t>
  </si>
  <si>
    <t>2010/11/10</t>
  </si>
  <si>
    <t>13/606,839</t>
  </si>
  <si>
    <t>Wireless display with multiscreen service</t>
  </si>
  <si>
    <t>Sheth; Soham V.|Raveendran; Vijayalakshmi R.|Shaukat; Fawad</t>
  </si>
  <si>
    <t>Sheth; Soham V.</t>
  </si>
  <si>
    <t>2012/01/06</t>
  </si>
  <si>
    <t>H04W8/24</t>
  </si>
  <si>
    <t>CN201010210927.X</t>
  </si>
  <si>
    <t>李儒岳|于辉|陈艺戬|杨勋</t>
  </si>
  <si>
    <t>4.26</t>
  </si>
  <si>
    <t>CN201010207706.7</t>
  </si>
  <si>
    <t>载波聚合场景下下行控制信息的检测方法和用户设备</t>
  </si>
  <si>
    <t>吴欣|戴博|曾萍|左志松</t>
  </si>
  <si>
    <t>吴欣</t>
  </si>
  <si>
    <t>7.68</t>
  </si>
  <si>
    <t>CN200910132361.0</t>
  </si>
  <si>
    <t>一种资源块分组波束赋形的方法和装置</t>
  </si>
  <si>
    <t>王衍文|李岩|张庆宏</t>
  </si>
  <si>
    <t>王衍文</t>
  </si>
  <si>
    <t>CN2013/072758</t>
  </si>
  <si>
    <t>Improved random access procedure with beamforming in lte</t>
  </si>
  <si>
    <t>高通|HOU,Jilei|WANG,Neng|WEI,Chao</t>
  </si>
  <si>
    <t>高通|hou jilei|wang neng|wei chao</t>
  </si>
  <si>
    <t>HOU,Jilei|WANG,Neng|WEI,Chao</t>
  </si>
  <si>
    <t>HOU,Jilei</t>
  </si>
  <si>
    <t>CN201010172626.2</t>
  </si>
  <si>
    <t>一种实现多点协作传输的方法、系统和移动终端</t>
  </si>
  <si>
    <t>15.14</t>
  </si>
  <si>
    <t>CN2013/073976</t>
  </si>
  <si>
    <t>Dynamic cell cluster interference management scheme using dynamic point selection (dps) or semi-static point selection (spss) for enhanced interference management and traffic adaptation (eimta)</t>
  </si>
  <si>
    <t>高通|FENG,Minghai|WANG,Neng|WEI,Chao|HOU,Jilei</t>
  </si>
  <si>
    <t>高通|feng minghai|wang neng|wei chao|hou jilei</t>
  </si>
  <si>
    <t>FENG,Minghai|WANG,Neng|WEI,Chao|HOU,Jilei</t>
  </si>
  <si>
    <t>2013/04/09</t>
  </si>
  <si>
    <t>2014/10/16</t>
  </si>
  <si>
    <t>CN201010139064.1</t>
  </si>
  <si>
    <t>一种获取基站集成移动广播支持能力的系统及方法</t>
  </si>
  <si>
    <t>樊波|周辉</t>
  </si>
  <si>
    <t>樊波</t>
  </si>
  <si>
    <t>CN200910118156.9</t>
  </si>
  <si>
    <t>一种信道质量报告方法及相应的装置</t>
  </si>
  <si>
    <t>段亚军|毕峰|孙云锋|张晨晨|张峻峰|姜静|朱常青</t>
  </si>
  <si>
    <t>段亚军</t>
  </si>
  <si>
    <t>5.5</t>
  </si>
  <si>
    <t>13/245,467</t>
  </si>
  <si>
    <t>Reporting of channel properties in heterogeneous networks</t>
  </si>
  <si>
    <t>Barbieri; Alan|Ji; Tingfang</t>
  </si>
  <si>
    <t>2010/09/27</t>
  </si>
  <si>
    <t>2011/09/26</t>
  </si>
  <si>
    <t>CN200910078617.4</t>
  </si>
  <si>
    <t>一种资源划分及资源映射的方法和装置</t>
  </si>
  <si>
    <t>吕开颖|关艳峰|鲁照华</t>
  </si>
  <si>
    <t>吕开颖</t>
  </si>
  <si>
    <t>CN201180042289.8</t>
  </si>
  <si>
    <t>用于使用资源划分信息进行参考信号处理的方法和装置</t>
  </si>
  <si>
    <t>T·余|S·马利克|罗涛</t>
  </si>
  <si>
    <t>T·余</t>
  </si>
  <si>
    <t>2010/09/03</t>
  </si>
  <si>
    <t>2011/09/03</t>
  </si>
  <si>
    <t>CN201010118648.0</t>
  </si>
  <si>
    <t>具有多重订制的移动站的寻呼机制</t>
  </si>
  <si>
    <t>2010/08/11</t>
  </si>
  <si>
    <t>1.47</t>
  </si>
  <si>
    <t>CN201180059100.6</t>
  </si>
  <si>
    <t>用于双SIMWCDMA移动站中的高效空闲操作的方法和装置</t>
  </si>
  <si>
    <t>CN201010146450.3</t>
  </si>
  <si>
    <t>一种机卡分离的手机及其实现卡初始化的方法</t>
  </si>
  <si>
    <t>汪瀛</t>
  </si>
  <si>
    <t>1.75</t>
  </si>
  <si>
    <t>US2013/056529</t>
  </si>
  <si>
    <t>Optimization of sim card initialization</t>
  </si>
  <si>
    <t>BERIONNE,Michele|RUVALCABA,Jose Alfredo</t>
  </si>
  <si>
    <t>BERIONNE,Michele</t>
  </si>
  <si>
    <t>2014/02/27</t>
  </si>
  <si>
    <t>CN201010002227.1</t>
  </si>
  <si>
    <t>下行控制信息的检测方法和装置</t>
  </si>
  <si>
    <t>戴博|吴欣|曾萍|左志松</t>
  </si>
  <si>
    <t>6.43</t>
  </si>
  <si>
    <t>CN201180044132.9</t>
  </si>
  <si>
    <t>用于多载波操作的ACK/NACK传输</t>
  </si>
  <si>
    <t>W·陈|张晓霞|P·加尔|J·蒙托霍|X·罗|罗涛|J·M·达姆尼亚诺维奇|A·达姆尼亚诺维奇</t>
  </si>
  <si>
    <t>2016/01/06</t>
  </si>
  <si>
    <t>CN201010114470.2</t>
  </si>
  <si>
    <t>一种MIMO信道信息反馈的方法及系统</t>
  </si>
  <si>
    <t>陈艺戬|尹武|李儒岳|徐俊|杨勋</t>
  </si>
  <si>
    <t>13/227,322</t>
  </si>
  <si>
    <t>Unified feedback framework for MU-MIMO enhancement based on indication of preferred precoder pairings</t>
  </si>
  <si>
    <t>Geirhofer; Stefan|Gaal; Peter</t>
  </si>
  <si>
    <t>CN200810184021.8</t>
  </si>
  <si>
    <t>一种链路自适应传输方法及设备</t>
  </si>
  <si>
    <t>陈玉</t>
  </si>
  <si>
    <t>CN2010/079344</t>
  </si>
  <si>
    <t>Methods and apparatus to generate a channel quality indicator with filtered interence in td-hsdpa systems</t>
  </si>
  <si>
    <t>高通|ZHENG,Ruiming|ZHANG,Jianqiang|FAN,Mingxi|GUO,Jiming</t>
  </si>
  <si>
    <t>高通|zheng ruiming|zhang jianqiang|fan mingxi|guo jiming</t>
  </si>
  <si>
    <t>ZHENG,Ruiming|ZHANG,Jianqiang|FAN,Mingxi|GUO,Jiming</t>
  </si>
  <si>
    <t>ZHENG,Ruiming</t>
  </si>
  <si>
    <t>CN200910258250.4</t>
  </si>
  <si>
    <t>解调参考信号动态循环移位参数的处理方法</t>
  </si>
  <si>
    <t>2009/12/14</t>
  </si>
  <si>
    <t>15.41</t>
  </si>
  <si>
    <t>CN201180032271.X</t>
  </si>
  <si>
    <t>无线通信中针对重传构造解调参考信号的方法和装置</t>
  </si>
  <si>
    <t>X·罗|P·加尔|W·陈|J·蒙托霍</t>
  </si>
  <si>
    <t>2016/08/31</t>
  </si>
  <si>
    <t>CN200810175479.7</t>
  </si>
  <si>
    <t>一种MAC实体的分配方法</t>
  </si>
  <si>
    <t>潘凤艳|陈慧</t>
  </si>
  <si>
    <t>潘凤艳</t>
  </si>
  <si>
    <t>13/162,269</t>
  </si>
  <si>
    <t>Method and apparatus for bundling resource blocks in wireless communication</t>
  </si>
  <si>
    <t>Luo; Tao|Chen; Wanshi|Gaal; Peter|Zhang; Xiaoxia|Montojo; Juan</t>
  </si>
  <si>
    <t>CN200910262770.2</t>
  </si>
  <si>
    <t>一种物理上行控制信道的功率控制方法及基站和终端</t>
  </si>
  <si>
    <t>朱鹏|郝鹏|梁春丽|喻斌|杨维维</t>
  </si>
  <si>
    <t>2009/12/28</t>
  </si>
  <si>
    <t>30.32</t>
  </si>
  <si>
    <t>CN2012/071676</t>
  </si>
  <si>
    <t>Ack channel design for early termination of r99 downlink traffic</t>
  </si>
  <si>
    <t>高通|SAMBHWANI,Sharad Deepak|索尼|LIANG,Jiye|HUANG,Yin</t>
  </si>
  <si>
    <t>高通|sambhwani sharad deepak|索尼|liang jiye|huang yin</t>
  </si>
  <si>
    <t>SAMBHWANI,Sharad Deepak|AKKARAKARAN,Sony John|LIANG,Jiye|HUANG,Yin</t>
  </si>
  <si>
    <t>2012/02/27</t>
  </si>
  <si>
    <t>CN200910176098.5</t>
  </si>
  <si>
    <t>一种下行控制信息的传输方法及系统</t>
  </si>
  <si>
    <t>戴博|李卫军|郁光辉|左志松</t>
  </si>
  <si>
    <t>2010/05/26</t>
  </si>
  <si>
    <t>27.76</t>
  </si>
  <si>
    <t>CN200910207139.2</t>
  </si>
  <si>
    <t>物理上行共享信道传输上行控制信令的方法与装置</t>
  </si>
  <si>
    <t>夏树强|杨维维|梁春丽|戴博|徐俊</t>
  </si>
  <si>
    <t>夏树强</t>
  </si>
  <si>
    <t>2009/10/27</t>
  </si>
  <si>
    <t>20.91</t>
  </si>
  <si>
    <t>CN201180031117.0</t>
  </si>
  <si>
    <t>用于无线通信的方法和装置</t>
  </si>
  <si>
    <t>CN200910176398.3</t>
  </si>
  <si>
    <t>一种干扰消除接收机及方法</t>
  </si>
  <si>
    <t>郭  琦|周  圆</t>
  </si>
  <si>
    <t>郭  琦</t>
  </si>
  <si>
    <t>CN201180026502.6</t>
  </si>
  <si>
    <t>用于多蜂窝小区的物理广播信道（PBCH）解码的设备和方法</t>
  </si>
  <si>
    <t>T·罗|K·刘|K·巴塔德|T·刘|X·张</t>
  </si>
  <si>
    <t>T·罗</t>
  </si>
  <si>
    <t>2011/05/27</t>
  </si>
  <si>
    <t>CN200810214977.8</t>
  </si>
  <si>
    <t>无线接入网、终端、频谱使用/复用方法、通信实现方法</t>
  </si>
  <si>
    <t>2010/03/10</t>
  </si>
  <si>
    <t>CN201180033839.X</t>
  </si>
  <si>
    <t>用于在无线对等网络中支持频分复用或者时分复用的方法和装置</t>
  </si>
  <si>
    <t>厉隽怿|S·塔维尔达|N·胡德|T·理查森|R·拉罗亚</t>
  </si>
  <si>
    <t>2010/07/08</t>
  </si>
  <si>
    <t>2015/09/30</t>
  </si>
  <si>
    <t>H04W 74/04</t>
  </si>
  <si>
    <t>CN200910005706.6</t>
  </si>
  <si>
    <t>一种随机接入过程中下行分量载波的标识方法及一种基站</t>
  </si>
  <si>
    <t>2009/01/24</t>
  </si>
  <si>
    <t>2010/02/03</t>
  </si>
  <si>
    <t>CN200810085999.9</t>
  </si>
  <si>
    <t>小区能力信息指示方法、无线网络控制器</t>
  </si>
  <si>
    <t>刘  霖|程  翔|续  斌</t>
  </si>
  <si>
    <t>刘  霖</t>
  </si>
  <si>
    <t>2008/07/08</t>
  </si>
  <si>
    <t>H04W 36/10</t>
  </si>
  <si>
    <t>13/024,058</t>
  </si>
  <si>
    <t>Method and apparatus for power control in high speed packet access (HSPA) networks</t>
  </si>
  <si>
    <t>Lee; Heechoon|Sambhwani; Sharad Deepak|Sampson; Wesley A.|Simon; Harris S.|Chellappa; Vijay K.|Zhang; Danlu</t>
  </si>
  <si>
    <t>Lee; Heechoon</t>
  </si>
  <si>
    <t>CN200810128213.7</t>
  </si>
  <si>
    <t>一种下行数据接收状态的反馈方法</t>
  </si>
  <si>
    <t>喻  斌|杜忠达</t>
  </si>
  <si>
    <t>喻  斌</t>
  </si>
  <si>
    <t>2008/06/30</t>
  </si>
  <si>
    <t>2010/01/06</t>
  </si>
  <si>
    <t>5.37</t>
  </si>
  <si>
    <t>13/029,072</t>
  </si>
  <si>
    <t>Continuous mode operation for wireless communications systems</t>
  </si>
  <si>
    <t>Xu; Hao|Vajapeyam; Madhavan S.|Bhushan; Naga|Chen; Wanshi|Malladi; Durga Prasad</t>
  </si>
  <si>
    <t>H04L1/1657</t>
  </si>
  <si>
    <t>CN200910159142.1</t>
  </si>
  <si>
    <t>一种对分片报文进行网络地址转换的方法及设备</t>
  </si>
  <si>
    <t>胡亿芬|鲍俊涛|张  磊|何  辉</t>
  </si>
  <si>
    <t>胡亿芬</t>
  </si>
  <si>
    <t>2009/12/16</t>
  </si>
  <si>
    <t>2.33</t>
  </si>
  <si>
    <t>CN2011/081785</t>
  </si>
  <si>
    <t>Nat/firewall accelerator</t>
  </si>
  <si>
    <t>高通|XU,Tos|FAN,Xiaoping</t>
  </si>
  <si>
    <t>高通|xu tos|fan xiaoping</t>
  </si>
  <si>
    <t>XU,Tos|FAN,Xiaoping</t>
  </si>
  <si>
    <t>XU,Tos</t>
  </si>
  <si>
    <t>CN200810110193.0</t>
  </si>
  <si>
    <t>混合自动重传请求方法</t>
  </si>
  <si>
    <t>张  健|张银成</t>
  </si>
  <si>
    <t>2.91</t>
  </si>
  <si>
    <t>CN201080060096.0</t>
  </si>
  <si>
    <t>用于提供共享调度请求资源的方法和装置</t>
  </si>
  <si>
    <t>S·Y·D·何|W·陈|J·蒙托霍|P·A·阿加什</t>
  </si>
  <si>
    <t>2015/09/23</t>
  </si>
  <si>
    <t>CN200910085810.0</t>
  </si>
  <si>
    <t>一种移动终端的定位方法和移动定位中心</t>
  </si>
  <si>
    <t>陈前洋|黄海波</t>
  </si>
  <si>
    <t>陈前洋</t>
  </si>
  <si>
    <t>2009/06/01</t>
  </si>
  <si>
    <t>5.20</t>
  </si>
  <si>
    <t>CN201180048282.7</t>
  </si>
  <si>
    <t>使用参考点对齐位置信息对设备进行定位</t>
  </si>
  <si>
    <t>S·W·埃奇|S·菲舍尔</t>
  </si>
  <si>
    <t>S·W·埃奇</t>
  </si>
  <si>
    <t>2011/10/01</t>
  </si>
  <si>
    <t>CN200910158454.0</t>
  </si>
  <si>
    <t>HS-SCCH功率控制方法及装置</t>
  </si>
  <si>
    <t>高晓莹</t>
  </si>
  <si>
    <t>H04W 52/12</t>
  </si>
  <si>
    <t>7.36</t>
  </si>
  <si>
    <t>CN200910150608.1</t>
  </si>
  <si>
    <t>大带宽的多载波系统中发送正确/错误应答消息的方法</t>
  </si>
  <si>
    <t>梁春丽|张禹强|夏树强</t>
  </si>
  <si>
    <t>77.43</t>
  </si>
  <si>
    <t>CN201180014678.X</t>
  </si>
  <si>
    <t>针对多载波操作的资源映射的方法及装置</t>
  </si>
  <si>
    <t>W·陈|J·蒙托霍|J·M·达姆尼亚诺维奇</t>
  </si>
  <si>
    <t>2011/03/21</t>
  </si>
  <si>
    <t>2016/02/10</t>
  </si>
  <si>
    <t>CN200910148622.8</t>
  </si>
  <si>
    <t>非透明数据业务基于选择重传机制的数据传输方法及装置</t>
  </si>
  <si>
    <t>唐  佳</t>
  </si>
  <si>
    <t>13/248,524</t>
  </si>
  <si>
    <t>Block acknowledgement with retransmission policy differentiation</t>
  </si>
  <si>
    <t>H04L  1/08</t>
  </si>
  <si>
    <t>H04L1/1896</t>
  </si>
  <si>
    <t>CN200810099714.7</t>
  </si>
  <si>
    <t>一种控制信道资源分配方法</t>
  </si>
  <si>
    <t>徐云翔</t>
  </si>
  <si>
    <t>13/032,592</t>
  </si>
  <si>
    <t>Channel state information reference signals</t>
  </si>
  <si>
    <t>Bhattad; Kapil|Gaal; Peter|Luo; Tao|Zhang; Xiaoxia|Montojo; Juan</t>
  </si>
  <si>
    <t>2010/02/23</t>
  </si>
  <si>
    <t>2011/02/22</t>
  </si>
  <si>
    <t>CN200810087792.5</t>
  </si>
  <si>
    <t>连接模式下基于演进基站的封闭用户组小区接入方法</t>
  </si>
  <si>
    <t>汪孙节|杜忠达</t>
  </si>
  <si>
    <t>2009/10/07</t>
  </si>
  <si>
    <t>4.29</t>
  </si>
  <si>
    <t>CN201180015216.X</t>
  </si>
  <si>
    <t>针对异构网络的系统接入</t>
  </si>
  <si>
    <t>罗涛|J·蒙托霍|W·陈</t>
  </si>
  <si>
    <t>2010/02/19</t>
  </si>
  <si>
    <t>CN200810084090.1</t>
  </si>
  <si>
    <t>下行控制指示解码方法及装置</t>
  </si>
  <si>
    <t>CN201180027063.0</t>
  </si>
  <si>
    <t>IEEE802.11AC中的VHT-SIG-B和服务字段的格式</t>
  </si>
  <si>
    <t>D·J·R·范尼|A·范策尔斯特|S·梅林|H·桑帕斯</t>
  </si>
  <si>
    <t>D·J·R·范尼</t>
  </si>
  <si>
    <t>2011/06/02</t>
  </si>
  <si>
    <t>2016/11/09</t>
  </si>
  <si>
    <t>CN200910083055.2</t>
  </si>
  <si>
    <t>测量参考信号的多天线发送方法及装置</t>
  </si>
  <si>
    <t>张  戎|郝  鹏|王瑜新|朱  鹏|张禹强</t>
  </si>
  <si>
    <t>张  戎</t>
  </si>
  <si>
    <t>19.88</t>
  </si>
  <si>
    <t>CN200910127190.2</t>
  </si>
  <si>
    <t>同步信号的发送方法和装置</t>
  </si>
  <si>
    <t>夏树强|梁春丽|米德忠|左志松</t>
  </si>
  <si>
    <t>3.70</t>
  </si>
  <si>
    <t>CN200910076596.2</t>
  </si>
  <si>
    <t>一种上行控制信道的发送方法、装置及系统</t>
  </si>
  <si>
    <t>夏树强|米德忠|梁春丽|左志松</t>
  </si>
  <si>
    <t>2009/01/09</t>
  </si>
  <si>
    <t>39.83</t>
  </si>
  <si>
    <t>CN2013/081961</t>
  </si>
  <si>
    <t>Underlayer composition for promoting self assembly and method of making and using</t>
  </si>
  <si>
    <t>高通|WEI,Chao|CHEN,Wanshi|ZHANG,Xiaoxia|WANG,Neng|XU,Hao|GAAL,Peter</t>
  </si>
  <si>
    <t>高通|wei chao|chen wanshi|zhang xiaoxia|wang neng|xu hao|gaal peter</t>
  </si>
  <si>
    <t>WEI,Chao|CHEN,Wanshi|ZHANG,Xiaoxia|WANG,Neng|XU,Hao|GAAL,Peter</t>
  </si>
  <si>
    <t>2015/02/26</t>
  </si>
  <si>
    <t>CN200910007615.6</t>
  </si>
  <si>
    <t>一种通过触摸屏启动移动终端应用功能的系统及方法</t>
  </si>
  <si>
    <t>叶  佳|黄开玉</t>
  </si>
  <si>
    <t>叶  佳</t>
  </si>
  <si>
    <t>2009/02/11</t>
  </si>
  <si>
    <t>G06F  3/048</t>
  </si>
  <si>
    <t>10.41</t>
  </si>
  <si>
    <t>CN201080038831.8</t>
  </si>
  <si>
    <t>提供搜索功能性的用户接口方法</t>
  </si>
  <si>
    <t>塞缪尔·J·霍罗德斯基|甘-庄·安东尼·蔡</t>
  </si>
  <si>
    <t>塞缪尔·J·霍罗德斯基</t>
  </si>
  <si>
    <t>2009/08/31</t>
  </si>
  <si>
    <t>2010/08/06</t>
  </si>
  <si>
    <t>2014/06/04</t>
  </si>
  <si>
    <t>G06F  3/0488</t>
  </si>
  <si>
    <t>CN200910105317.0</t>
  </si>
  <si>
    <t>提供定位业务的方法及系统</t>
  </si>
  <si>
    <t>单  良</t>
  </si>
  <si>
    <t>7.94</t>
  </si>
  <si>
    <t>CN2011/073678</t>
  </si>
  <si>
    <t>Method and apparatus for performing positioning in a femtocell deployment</t>
  </si>
  <si>
    <t>高通|JIN,Chao|GUO,Jiming</t>
  </si>
  <si>
    <t>高通|jin chao|guo jiming</t>
  </si>
  <si>
    <t>JIN,Chao|GUO,Jiming</t>
  </si>
  <si>
    <t>JIN,Chao</t>
  </si>
  <si>
    <t>CN200810000690.5</t>
  </si>
  <si>
    <t>一种数据传输方法及装置</t>
  </si>
  <si>
    <t>许  进|方源立|袁志锋|李  松|徐  俊|胡留军</t>
  </si>
  <si>
    <t>CN201180054113.4</t>
  </si>
  <si>
    <t>用于聚合分组传输中的分组级擦除保护编码的方法和装置</t>
  </si>
  <si>
    <t>M·H·塔加维纳斯拉巴蒂|H·桑帕斯|S·梅林|S·P·亚伯拉罕|S·韦尔玛尼|R·坦德拉</t>
  </si>
  <si>
    <t>M·H·塔加维纳斯拉巴蒂</t>
  </si>
  <si>
    <t>2011/11/09</t>
  </si>
  <si>
    <t>2016/06/15</t>
  </si>
  <si>
    <t>CN200710182030.9</t>
  </si>
  <si>
    <t>基于半持续调度的预分配资源位置确定方法</t>
  </si>
  <si>
    <t>曾清海|赵  楠</t>
  </si>
  <si>
    <t>曾清海</t>
  </si>
  <si>
    <t>3.56</t>
  </si>
  <si>
    <t>CN201080020161.7</t>
  </si>
  <si>
    <t>用于多载波无线通信的半持久调度</t>
  </si>
  <si>
    <t>W·陈|J·蒙托约</t>
  </si>
  <si>
    <t>2015/09/16</t>
  </si>
  <si>
    <t>CN200810177529.5</t>
  </si>
  <si>
    <t>一种混合时分双工大带宽系统数据传输方法</t>
  </si>
  <si>
    <t>喻  斌|张禹强|郝  鹏|胡  剑|马志锋</t>
  </si>
  <si>
    <t>31.47</t>
  </si>
  <si>
    <t>CN201080019445.4</t>
  </si>
  <si>
    <t>多载波重传反馈的方法及装置</t>
  </si>
  <si>
    <t>J·M·达姆尼亚诺维奇|W·陈|P·加尔|J·蒙托霍|N·布尚|A·D·汉德卡尔</t>
  </si>
  <si>
    <t>2009/05/07</t>
  </si>
  <si>
    <t>CN200810216942.8</t>
  </si>
  <si>
    <t>一种GSM/CDMA双模手机及其抑制GC互扰的方法</t>
  </si>
  <si>
    <t>2.66</t>
  </si>
  <si>
    <t>CN200810166339.3</t>
  </si>
  <si>
    <t>一种半持续调度方式下压缩调制编码信令的方法</t>
  </si>
  <si>
    <t>许  进|徐  俊|戴  博|胡留军</t>
  </si>
  <si>
    <t>2008/09/23</t>
  </si>
  <si>
    <t>2009/03/18</t>
  </si>
  <si>
    <t>5.27</t>
  </si>
  <si>
    <t>CN200710147960.0</t>
  </si>
  <si>
    <t>基于空频编码的MIMO-OFDM系统的分集方法</t>
  </si>
  <si>
    <t>孙云锋|赵  琼|段亚军|王衍文</t>
  </si>
  <si>
    <t>CN201080026776.0</t>
  </si>
  <si>
    <t>PUSCH发射传送方案选择</t>
  </si>
  <si>
    <t>罗涛|X·罗|J·蒙托霍</t>
  </si>
  <si>
    <t>2016/08/10</t>
  </si>
  <si>
    <t>CN200710146218.8</t>
  </si>
  <si>
    <t>一种基于空频编码的发射分集方法</t>
  </si>
  <si>
    <t>孙云锋|赵  琼</t>
  </si>
  <si>
    <t>2007/08/28</t>
  </si>
  <si>
    <t>3.40</t>
  </si>
  <si>
    <t>CN200710147914.0</t>
  </si>
  <si>
    <t>用于TD-SCDMA系统HSUPA中的功控方法及装置</t>
  </si>
  <si>
    <t>费佩燕|李  轶|殷玮玮|刘  虎|杨  宁|肖炼斌</t>
  </si>
  <si>
    <t>费佩燕</t>
  </si>
  <si>
    <t>2007/08/24</t>
  </si>
  <si>
    <t>13/780,688</t>
  </si>
  <si>
    <t>Adjusting initial transmit power for high speed data transmission</t>
  </si>
  <si>
    <t>CN200710138753.9</t>
  </si>
  <si>
    <t>确保处于休眠模式的终端与基站保持联系的方法</t>
  </si>
  <si>
    <t>曲红云</t>
  </si>
  <si>
    <t>2007/08/16</t>
  </si>
  <si>
    <t>1.62</t>
  </si>
  <si>
    <t>12/427,883</t>
  </si>
  <si>
    <t>Methods and apparatus for communicating information</t>
  </si>
  <si>
    <t>Laroia; Rajiv|Li; Junyi|Park; Vincent D.|Wang; Ying|Jovicic; Aleksandar</t>
  </si>
  <si>
    <t>H04W72/1268</t>
  </si>
  <si>
    <t>CN200710147023.5</t>
  </si>
  <si>
    <t>一种对家庭基站下用户的精确定位方法</t>
  </si>
  <si>
    <t>曾清海|席光清|王  勇</t>
  </si>
  <si>
    <t>2.81</t>
  </si>
  <si>
    <t>CN201180005441.5</t>
  </si>
  <si>
    <t>用于定位无线网络中的设备的方法和装置</t>
  </si>
  <si>
    <t>R·保兰基|N·E·坦尼|P·A·阿加什</t>
  </si>
  <si>
    <t>2011/01/07</t>
  </si>
  <si>
    <t>2016/06/01</t>
  </si>
  <si>
    <t>CN200710143449.3</t>
  </si>
  <si>
    <t>一种蜂窝移动通信系统小区间功率控制方法</t>
  </si>
  <si>
    <t>张禹强|郝  鹏|郁光辉|戴  博</t>
  </si>
  <si>
    <t>6.32</t>
  </si>
  <si>
    <t>CN201080031457.9</t>
  </si>
  <si>
    <t>响应于过载指示符的用户设备和基站行为</t>
  </si>
  <si>
    <t>张晓霞|D·P·马拉蒂|罗涛</t>
  </si>
  <si>
    <t>2010/07/14</t>
  </si>
  <si>
    <t>2015/06/03</t>
  </si>
  <si>
    <t>H04W 52/40</t>
  </si>
  <si>
    <t>CN200710143444.0</t>
  </si>
  <si>
    <t>一种加快无线通信系统终端进入网络的方法</t>
  </si>
  <si>
    <t>宋建全|褚  丽|许  玲|黄  郑</t>
  </si>
  <si>
    <t>宋建全</t>
  </si>
  <si>
    <t>US2010/031405</t>
  </si>
  <si>
    <t>Methods and systems using fast initial synchronization for wimax mobile stations</t>
  </si>
  <si>
    <t>高通|LEE,Chun Woo|GURSKI,Remi J.|CHENG,Steven D.|LIM,Patrick</t>
  </si>
  <si>
    <t>高通|lee chun woo|gurski remi j|cheng steven d|lim patrick</t>
  </si>
  <si>
    <t>LEE,Chun Woo|GURSKI,Remi J.|CHENG,Steven D.|LIM,Patrick</t>
  </si>
  <si>
    <t>LEE,Chun Woo</t>
  </si>
  <si>
    <t>CN200710130466.3</t>
  </si>
  <si>
    <t>MBMS无线承载的资源分配和建立方法及系统</t>
  </si>
  <si>
    <t>陈晓斌</t>
  </si>
  <si>
    <t>2007/07/19</t>
  </si>
  <si>
    <t>CN200710128404.9</t>
  </si>
  <si>
    <t>时分同步码分多址上行增强系统的随机接入方法</t>
  </si>
  <si>
    <t>张银成|陈  慧|刘  虎</t>
  </si>
  <si>
    <t>2007/07/05</t>
  </si>
  <si>
    <t>3.44</t>
  </si>
  <si>
    <t>12/769,853</t>
  </si>
  <si>
    <t>Activation deactivation of secondary UL carrier in DC HSUPA</t>
  </si>
  <si>
    <t>Sambhwani; Sharad Deepak|Radulescu; Andrei Dragos|Kapoor; Rohit|Mohanty; Bibhu Prasad|Scipione; Mario Mark|Zhang; Danlu|Gholmieh; Aziz</t>
  </si>
  <si>
    <t>CN200710126071.6</t>
  </si>
  <si>
    <t>多载波增强上行接入系统的调度信息上报方法</t>
  </si>
  <si>
    <t>费佩燕|殷玮玮|刘  虎|孙慧霞|夏中英|李  轶|张银成|陈  慧|肖炼斌</t>
  </si>
  <si>
    <t>10.43</t>
  </si>
  <si>
    <t>12/724,350</t>
  </si>
  <si>
    <t>Scheduling information for wireless communications</t>
  </si>
  <si>
    <t>Zhang; Danlu|Sambhwani; Sharad Deepak|Gholmieh; Aziz|Kapoor; Rohit|Hou; Jilei|Ozturk; Ozcan|Bharadwaj; Arjun</t>
  </si>
  <si>
    <t>CN200710126069.9</t>
  </si>
  <si>
    <t>37.85</t>
  </si>
  <si>
    <t>CN200810144407.6</t>
  </si>
  <si>
    <t>一种上行信道测量参考信号的传输方法</t>
  </si>
  <si>
    <t>梁春丽|郝  鹏|夏树强|戴  博</t>
  </si>
  <si>
    <t>2008/07/29</t>
  </si>
  <si>
    <t>38.52</t>
  </si>
  <si>
    <t>CN200710137418.7</t>
  </si>
  <si>
    <t>编解码选择和指配方法</t>
  </si>
  <si>
    <t>凌  军|庞秀峰|温占波</t>
  </si>
  <si>
    <t>凌  军</t>
  </si>
  <si>
    <t>2007/07/12</t>
  </si>
  <si>
    <t>12/640,336</t>
  </si>
  <si>
    <t>Coding methods and apparatus for broadcast channels</t>
  </si>
  <si>
    <t>Wu; Xinzhou|Measson; Cyril|Khude; Nilesh|Li; Junyi</t>
  </si>
  <si>
    <t>Wu; Xinzhou</t>
  </si>
  <si>
    <t>2009/10/14</t>
  </si>
  <si>
    <t>CN200710110636.1</t>
  </si>
  <si>
    <t>一种自适应MIMO系统及其信号处理方法</t>
  </si>
  <si>
    <t>王衍文|王文焕|张  力</t>
  </si>
  <si>
    <t>2007/06/06</t>
  </si>
  <si>
    <t>2008/12/10</t>
  </si>
  <si>
    <t>1.71</t>
  </si>
  <si>
    <t>CN201080012790.5</t>
  </si>
  <si>
    <t>无线通信环境中的天线虚拟化的方法和无线通信装置</t>
  </si>
  <si>
    <t>X·罗|A·法拉吉达纳|张晓霞|J·蒙托霍</t>
  </si>
  <si>
    <t>CN200810131819.6</t>
  </si>
  <si>
    <t>控制信道自适应发射的方法和装置</t>
  </si>
  <si>
    <t>毕  峰|李  峰|苟  伟|韩小江|袁  明|米德忠</t>
  </si>
  <si>
    <t>毕  峰</t>
  </si>
  <si>
    <t>2008/06/23</t>
  </si>
  <si>
    <t>CN201080013138.5</t>
  </si>
  <si>
    <t>用于无线通信系统中针对透明中继操作的有效控制解码的方法和装置</t>
  </si>
  <si>
    <t>W·陈|A·D·汉德卡尔|J·蒙托霍|A·戈罗霍夫|N·布尚</t>
  </si>
  <si>
    <t>CN200810094545.8</t>
  </si>
  <si>
    <t>一种物理上行控制信道干扰随机化的方法</t>
  </si>
  <si>
    <t>夏树强|梁春丽|戴  博|郝  鹏</t>
  </si>
  <si>
    <t>4.6</t>
  </si>
  <si>
    <t>13/332,701</t>
  </si>
  <si>
    <t>Interference randomization for uplink signaling</t>
  </si>
  <si>
    <t>Luo; Xiliang|Gaal; Peter|Chen; Wanshi|Xu; Hao|Luo; Tao|Bhattad; Kapil|Zhang; Xiaoxia</t>
  </si>
  <si>
    <t>CN200810099790.8</t>
  </si>
  <si>
    <t>一种配置和显示家庭基站名称、内部用户组名称的方法</t>
  </si>
  <si>
    <t>21.25</t>
  </si>
  <si>
    <t>CN200980143334.1</t>
  </si>
  <si>
    <t>使用毫微微小区来执行接入控制和寻呼的系统和方法</t>
  </si>
  <si>
    <t>D·辛格|L·赵|O·弗洛尔|R·古普塔|M·M·德什潘德|A·D·勒杜列斯库</t>
  </si>
  <si>
    <t>2009/11/03</t>
  </si>
  <si>
    <t>2014/11/05</t>
  </si>
  <si>
    <t>CN200810111076.6</t>
  </si>
  <si>
    <t>智能双模手机及其无线调制解调器之间的信息传递方法</t>
  </si>
  <si>
    <t>李建忠</t>
  </si>
  <si>
    <t>15/060,503</t>
  </si>
  <si>
    <t>Impedance-based flow control for a two-wire interface system with variable frame length</t>
  </si>
  <si>
    <t>Mishra; Lalan Jee|Wietfeldt; Richard|Wiley; George|Gil; Amit</t>
  </si>
  <si>
    <t>Mishra; Lalan Jee</t>
  </si>
  <si>
    <t>2015/03/06</t>
  </si>
  <si>
    <t>2016/03/03</t>
  </si>
  <si>
    <t>G06F 13/40</t>
  </si>
  <si>
    <t>G06F5/065</t>
  </si>
  <si>
    <t>CN200710101416.2</t>
  </si>
  <si>
    <t>一种无线中继站连接关系更新的方法</t>
  </si>
  <si>
    <t>蔡思东|许  玲</t>
  </si>
  <si>
    <t>7.73</t>
  </si>
  <si>
    <t>CN200810066900.0</t>
  </si>
  <si>
    <t>一种手机流媒体音视频的同步方法</t>
  </si>
  <si>
    <t>殷  专|王胜娟|叶  林|刘  辉</t>
  </si>
  <si>
    <t>殷  专</t>
  </si>
  <si>
    <t>G11B 27/10</t>
  </si>
  <si>
    <t>H04N7/24T2M</t>
  </si>
  <si>
    <t>13.4</t>
  </si>
  <si>
    <t>13/340,224</t>
  </si>
  <si>
    <t>Method, system and network device for implementing HTTP-based streaming service</t>
  </si>
  <si>
    <t>Zhang; Shaobo</t>
  </si>
  <si>
    <t>CN200580051627.9</t>
  </si>
  <si>
    <t>一种无线通信系统接收射频通道监测方法及其装置</t>
  </si>
  <si>
    <t>丁杰伟|张海清|雷  宇</t>
  </si>
  <si>
    <t>丁杰伟</t>
  </si>
  <si>
    <t>2005/11/28</t>
  </si>
  <si>
    <t>H04L27/26M1P</t>
  </si>
  <si>
    <t>CN201180019303.2</t>
  </si>
  <si>
    <t>用于有助于同时的业务-空闲或空闲-空闲解调的系统、装置和方法</t>
  </si>
  <si>
    <t>F·M·恩盖</t>
  </si>
  <si>
    <t>2011/04/18</t>
  </si>
  <si>
    <t>CN200810066390.7</t>
  </si>
  <si>
    <t>一种时分双工系统物理随机接入信道参数配置及指示方法</t>
  </si>
  <si>
    <t>郝  鹏|夏树强|梁春丽|戴  博|喻  斌</t>
  </si>
  <si>
    <t>2008/08/27</t>
  </si>
  <si>
    <t>H04B7/005B5</t>
  </si>
  <si>
    <t>4.70</t>
  </si>
  <si>
    <t>CN201080034425.4</t>
  </si>
  <si>
    <t>随机接入信道配置的动态选择方法及装置</t>
  </si>
  <si>
    <t>W·陈|张晓霞</t>
  </si>
  <si>
    <t>2010/08/02</t>
  </si>
  <si>
    <t>2015/04/08</t>
  </si>
  <si>
    <t>CN200810009382.9</t>
  </si>
  <si>
    <t>无线通信系统中基站设备的操作维护管理方法和系统</t>
  </si>
  <si>
    <t>苏强养</t>
  </si>
  <si>
    <t>13/096,636</t>
  </si>
  <si>
    <t>System, apparatus and method for coordinating peer communication in wireless systems</t>
  </si>
  <si>
    <t>Ulupinar; Fatih|Huang; Xiaolong</t>
  </si>
  <si>
    <t>CN200810007008.5</t>
  </si>
  <si>
    <t>多媒体文件播放处理方法</t>
  </si>
  <si>
    <t>孙  健|李加周</t>
  </si>
  <si>
    <t>孙  健</t>
  </si>
  <si>
    <t>G11B27/10A1</t>
  </si>
  <si>
    <t>CN200980152335.2</t>
  </si>
  <si>
    <t>从流式传输的内容切换到本地内容的系统和方法</t>
  </si>
  <si>
    <t>德温德尔·山川|维吉尼亚·沃克·基廷|吉·帕克</t>
  </si>
  <si>
    <t>德温德尔·山川</t>
  </si>
  <si>
    <t>2008/12/28</t>
  </si>
  <si>
    <t>2015/03/25</t>
  </si>
  <si>
    <t>CN200710003295.8</t>
  </si>
  <si>
    <t>资源分配方法和装置</t>
  </si>
  <si>
    <t>史莉荣</t>
  </si>
  <si>
    <t>2007/02/02</t>
  </si>
  <si>
    <t>CN2013/086216</t>
  </si>
  <si>
    <t>CN200810008661.3</t>
  </si>
  <si>
    <t>时分双工系统中物理上行控制信号的发送方法和装置</t>
  </si>
  <si>
    <t>夏树强|梁春丽|郝  鹏|戴  博</t>
  </si>
  <si>
    <t>18.61</t>
  </si>
  <si>
    <t>CN200810006131.5</t>
  </si>
  <si>
    <t>蜂窝网络通信系统及其用户设备P-P通信方法</t>
  </si>
  <si>
    <t>赵建平|张峻峰</t>
  </si>
  <si>
    <t>赵建平</t>
  </si>
  <si>
    <t>2008/02/03</t>
  </si>
  <si>
    <t>13/103,733</t>
  </si>
  <si>
    <t>Resource coordination for peer-to-peer groups through distributed negotiation</t>
  </si>
  <si>
    <t>Geirhofer; Stefan|Bhushan; Naga|Palanki; Ravi|Damnjanovic; Aleksandar|Agashe; Parag Arun</t>
  </si>
  <si>
    <t>2011/05/09</t>
  </si>
  <si>
    <t>H04L1/00</t>
  </si>
  <si>
    <t>CN200810004709.3</t>
  </si>
  <si>
    <t>一种移动IP业务基于流的服务质量实现方法及系统</t>
  </si>
  <si>
    <t>钮  远|詹徐周|王  霞</t>
  </si>
  <si>
    <t>钮  远</t>
  </si>
  <si>
    <t>2008/01/23</t>
  </si>
  <si>
    <t>H04L29/06J1</t>
  </si>
  <si>
    <t>14/004,276</t>
  </si>
  <si>
    <t>Apparatus and method for avoiding data loss associated with a QoS reservation failure</t>
  </si>
  <si>
    <t>Zhang; Weiye|Song; Haichao</t>
  </si>
  <si>
    <t>Zhang; Weiye</t>
  </si>
  <si>
    <t>CN200810004410.8</t>
  </si>
  <si>
    <t>电路域回落的控制方法、系统、及装置</t>
  </si>
  <si>
    <t>胡  英|余志铭|宗在峰|叶敏雅|王志海</t>
  </si>
  <si>
    <t>胡  英</t>
  </si>
  <si>
    <t>57.27</t>
  </si>
  <si>
    <t>CN2013/071203</t>
  </si>
  <si>
    <t>Dual radio circuit-switched fallback (csfb)</t>
  </si>
  <si>
    <t>高通|ZHU,Xipeng|SHAHIDI,Reza|KITAZOE,Masato|GRIOT,Miguel</t>
  </si>
  <si>
    <t>高通|zhu xipeng|shahidi reza|kitazoe masato|griot miguel</t>
  </si>
  <si>
    <t>ZHU,Xipeng|SHAHIDI,Reza|KITAZOE,Masato|GRIOT,Miguel</t>
  </si>
  <si>
    <t>CN200710125738.0</t>
  </si>
  <si>
    <t>一种动态无线信道的管理系统和管理方法</t>
  </si>
  <si>
    <t>雷凌云|唐  雪|瞿小成</t>
  </si>
  <si>
    <t>雷凌云</t>
  </si>
  <si>
    <t>2007/12/25</t>
  </si>
  <si>
    <t>2008/07/02</t>
  </si>
  <si>
    <t>14/551,553</t>
  </si>
  <si>
    <t>Method to prevent data stalls due to blanking in multi-SIM multi-active devices</t>
  </si>
  <si>
    <t>Dhanda; Mungal Singh|Goel; Neha|Burhan; Abeezar|Van; Hieu Trung|Sikri; Divaydeep|Mohseni; Jafar</t>
  </si>
  <si>
    <t>2014/11/24</t>
  </si>
  <si>
    <t>H04W28/10</t>
  </si>
  <si>
    <t>CN200610145754.1</t>
  </si>
  <si>
    <t>一种网络用户权限鉴定方法</t>
  </si>
  <si>
    <t>缪  伟</t>
  </si>
  <si>
    <t>2006/11/16</t>
  </si>
  <si>
    <t>CN200980140971.3</t>
  </si>
  <si>
    <t>使用无线汇聚平台来提供便携式宽带服务的装置和方法</t>
  </si>
  <si>
    <t>R·D·拉詹|A·J·贝蒂|R·S·库伦卡尔|K·唐</t>
  </si>
  <si>
    <t>R·D·拉詹</t>
  </si>
  <si>
    <t>2015/06/24</t>
  </si>
  <si>
    <t>CN200610138612.2</t>
  </si>
  <si>
    <t>增强混合自动重传请求指示信道的分配系统</t>
  </si>
  <si>
    <t>CN201180039016.8</t>
  </si>
  <si>
    <t>多点高速下行链路分组接入网络中的时序控制</t>
  </si>
  <si>
    <t>P·K·维特哈拉德夫尤尼|H·孙|D·张|S·D·桑布瓦尼|侯纪磊</t>
  </si>
  <si>
    <t>P·K·维特哈拉德夫尤尼</t>
  </si>
  <si>
    <t>CN200710187820.6</t>
  </si>
  <si>
    <t>多载波无线通讯系统载波功率的定标方法和装置</t>
  </si>
  <si>
    <t>肖荣建|潘甲山|龙始华|黄沛瑜</t>
  </si>
  <si>
    <t>肖荣建</t>
  </si>
  <si>
    <t>2007/11/13</t>
  </si>
  <si>
    <t>1.20</t>
  </si>
  <si>
    <t>CN201080027175.1</t>
  </si>
  <si>
    <t>用于多载波高速上行链路包接入的功率定标</t>
  </si>
  <si>
    <t>张丹鲁|帕万·库马尔·维特萨拉德武尼|侯纪磊|厄兹詹·厄兹蒂克尔|阿尔琼·巴德瓦杰|拉维·阿加瓦尔|沙拉德·迪帕克·桑比瓦尼</t>
  </si>
  <si>
    <t>张丹鲁</t>
  </si>
  <si>
    <t>H04W 52/34</t>
  </si>
  <si>
    <t>CN200710178033.5</t>
  </si>
  <si>
    <t>一种实现多模移动终端睡眠/唤醒的方法</t>
  </si>
  <si>
    <t>杨海城|董晓斌|乐  攀</t>
  </si>
  <si>
    <t>杨海城</t>
  </si>
  <si>
    <t>2007/11/23</t>
  </si>
  <si>
    <t>CN200980132015.0</t>
  </si>
  <si>
    <t>通用串行总线(USB)远程唤醒</t>
  </si>
  <si>
    <t>利龙·马诺尔|塞尔焦·科洛尔|约拉姆·里蒙尼|伊戈尔·马拉曼特|德迪·兰斯基</t>
  </si>
  <si>
    <t>利龙·马诺尔</t>
  </si>
  <si>
    <t>2009/08/21</t>
  </si>
  <si>
    <t>G06F 13/42</t>
  </si>
  <si>
    <t>CN200610149681.3</t>
  </si>
  <si>
    <t>一种应用于端到端链路传输中IP报头压缩的方法</t>
  </si>
  <si>
    <t>王  彬|李  峰</t>
  </si>
  <si>
    <t>王  彬</t>
  </si>
  <si>
    <t>5.88</t>
  </si>
  <si>
    <t>12/886,111</t>
  </si>
  <si>
    <t>Methods and apparatus for improving header compression</t>
  </si>
  <si>
    <t>Rezaiifar; Ramin|Kimball; Robert Howard</t>
  </si>
  <si>
    <t>2009/11/30</t>
  </si>
  <si>
    <t>2010/09/20</t>
  </si>
  <si>
    <t>H04L67/02</t>
  </si>
  <si>
    <t>CN200610149668.8</t>
  </si>
  <si>
    <t>一种实现多输入多输出正交频分复用系统时间同步的方法</t>
  </si>
  <si>
    <t>李  斌|张学林</t>
  </si>
  <si>
    <t>李  斌</t>
  </si>
  <si>
    <t>4.78</t>
  </si>
  <si>
    <t>CN2012/083814</t>
  </si>
  <si>
    <t>CN200710169448.6</t>
  </si>
  <si>
    <t>一种时分双工系统中特殊时隙的配制方法</t>
  </si>
  <si>
    <t>郝  鹏|夏树强|梁春丽|戴  博|郁光辉|胡留军|喻  斌</t>
  </si>
  <si>
    <t>7.2</t>
  </si>
  <si>
    <t>CN2013/073969</t>
  </si>
  <si>
    <t>eNB-eNB AND UE-UE MEASUREMENT FOR INTERFERENCE MITIGATION</t>
  </si>
  <si>
    <t>CN200710165904.X</t>
  </si>
  <si>
    <t>一种账户使用监控方法</t>
  </si>
  <si>
    <t>王永成</t>
  </si>
  <si>
    <t>CN200610152441.9</t>
  </si>
  <si>
    <t>频谱使用方法和装置</t>
  </si>
  <si>
    <t>7.65</t>
  </si>
  <si>
    <t>13/049,773</t>
  </si>
  <si>
    <t>Methods and apparatus for best-effort radio backhaul among cells on unlicensed or shared spectrum</t>
  </si>
  <si>
    <t>Barbieri; Alan|Bhushan; Naga|Gaal; Peter</t>
  </si>
  <si>
    <t>CN200710163734.1</t>
  </si>
  <si>
    <t>实现通信链路负载均衡的方法</t>
  </si>
  <si>
    <t>陈  刚|甘  斌|张  锦|何  飞|刘进涛</t>
  </si>
  <si>
    <t>陈  刚</t>
  </si>
  <si>
    <t>H04L12/56D5R</t>
  </si>
  <si>
    <t>4.65</t>
  </si>
  <si>
    <t>12/268,138</t>
  </si>
  <si>
    <t>Methods and apparatus for communicating and/or using load information in support of decentralized traffic scheduling decisions</t>
  </si>
  <si>
    <t>Hande; Prashanth|Wu; Xinzhou|Rangan; Sundeep</t>
  </si>
  <si>
    <t>H04L12/5695</t>
  </si>
  <si>
    <t>CN200710164183.0</t>
  </si>
  <si>
    <t>多模移动终端实现呼叫控制的方法和装置</t>
  </si>
  <si>
    <t>仝庆贻</t>
  </si>
  <si>
    <t>5.62</t>
  </si>
  <si>
    <t>CN201280004589.1</t>
  </si>
  <si>
    <t>多SIMUE响应于接收到呼叫而发送繁忙状态消息的方法和装置</t>
  </si>
  <si>
    <t>S·K·古普塔|V·A·N·巴布巴迪|U·帕塔纳亚克</t>
  </si>
  <si>
    <t>S·K·古普塔</t>
  </si>
  <si>
    <t>2011/01/04</t>
  </si>
  <si>
    <t>CN200710098276.8</t>
  </si>
  <si>
    <t>一种基于手持设备移动的网络管理系统</t>
  </si>
  <si>
    <t>薄开涛</t>
  </si>
  <si>
    <t>2007/04/25</t>
  </si>
  <si>
    <t>CN200610126963.1</t>
  </si>
  <si>
    <t>一种测量多任务操作系统任务CPU占用率的方法</t>
  </si>
  <si>
    <t>傅仁武</t>
  </si>
  <si>
    <t>2006/09/11</t>
  </si>
  <si>
    <t>G06F 11/34</t>
  </si>
  <si>
    <t>G06F9/46C2</t>
  </si>
  <si>
    <t>1.6</t>
  </si>
  <si>
    <t>12/482,524</t>
  </si>
  <si>
    <t>Method and system for measuring task load</t>
  </si>
  <si>
    <t>Jong; Alex Kwang-Ho|Yadhav; Balam Subhash Chandra|Paruchuru; Ravi Kishore</t>
  </si>
  <si>
    <t>Jong; Alex Kwang-Ho</t>
  </si>
  <si>
    <t>G06F 17/00</t>
  </si>
  <si>
    <t>G06F9/4887</t>
  </si>
  <si>
    <t>CN200710140615.4</t>
  </si>
  <si>
    <t>减少上行同步检测漏检的方法</t>
  </si>
  <si>
    <t>陈  禹|赵善红|张道垠</t>
  </si>
  <si>
    <t>陈  禹</t>
  </si>
  <si>
    <t>2007/08/09</t>
  </si>
  <si>
    <t>H04B7/005B3B</t>
  </si>
  <si>
    <t>CN200910056967.0</t>
  </si>
  <si>
    <t>具有相关特性的帧检测系统中获得帧同步的方法</t>
  </si>
  <si>
    <t>高通创锐讯企业管理(上海)有限公司</t>
  </si>
  <si>
    <t>倪小英|聂红儿</t>
  </si>
  <si>
    <t>倪小英</t>
  </si>
  <si>
    <t>CN200710138054.4</t>
  </si>
  <si>
    <t>TD-SCDMA系统中的上行同步跟踪方法和装置</t>
  </si>
  <si>
    <t>2007/08/02</t>
  </si>
  <si>
    <t>CN201180000193.5</t>
  </si>
  <si>
    <t>用于提高TD-SCDMA上行链路同步中同步偏移命令收敛性的基于用户设备的方法</t>
  </si>
  <si>
    <t>2011/03/31</t>
  </si>
  <si>
    <t>CN200710073562.9</t>
  </si>
  <si>
    <t>一种HRPD系统中上行链路并行干扰消除装置和方法</t>
  </si>
  <si>
    <t>2007/03/16</t>
  </si>
  <si>
    <t>CN201180023542.5</t>
  </si>
  <si>
    <t>具有软决策的上行链路干扰消除系统中的负载控制</t>
  </si>
  <si>
    <t>S·D·桑布瓦尼|W·曾</t>
  </si>
  <si>
    <t>CN200710146749.7</t>
  </si>
  <si>
    <t>用于通信系统的控制信令及其参考信号的发射方法</t>
  </si>
  <si>
    <t>薛  妍|郁光辉|夏树强</t>
  </si>
  <si>
    <t>薛  妍</t>
  </si>
  <si>
    <t>12/564,809</t>
  </si>
  <si>
    <t>Transmit diversity scheme for uplink data transmissions</t>
  </si>
  <si>
    <t>Gaal; Peter|Montojo; Juan|Luo; Xiliang</t>
  </si>
  <si>
    <t>CN200680007043.6</t>
  </si>
  <si>
    <t>时分同步码分多址接入通信系统终端设备的随机接入方法</t>
  </si>
  <si>
    <t>张银成|杨学君|马子江|马志峰</t>
  </si>
  <si>
    <t>CN200710161520.0</t>
  </si>
  <si>
    <t>一种移动通信系统中的无线链路切换方法</t>
  </si>
  <si>
    <t>丁美玲|江  海|范  毅|吴明皓</t>
  </si>
  <si>
    <t>丁美玲</t>
  </si>
  <si>
    <t>CN200710153590.1</t>
  </si>
  <si>
    <t>一种自动进行小区干扰优化的方法</t>
  </si>
  <si>
    <t>高  音|李  毅</t>
  </si>
  <si>
    <t>12.63</t>
  </si>
  <si>
    <t>13/838,604</t>
  </si>
  <si>
    <t>Centralized management for pilot pollution mitigation in small cell networks</t>
  </si>
  <si>
    <t>Nagaraja; Sumeeth|Amini; Pooyan|Tokgoz; Yeliz|Meshkati; Farhad|Chevallier; Christophe|Yavuz; Mehmet</t>
  </si>
  <si>
    <t>CN200710151703.4</t>
  </si>
  <si>
    <t>基站切换的优化方法</t>
  </si>
  <si>
    <t>2007/09/27</t>
  </si>
  <si>
    <t>18.19</t>
  </si>
  <si>
    <t>CN201380043481.8</t>
  </si>
  <si>
    <t>智能无线电接入技术间测量报告</t>
  </si>
  <si>
    <t>M·杨|金汤|G·石</t>
  </si>
  <si>
    <t>M·杨</t>
  </si>
  <si>
    <t>CN200710122060.0</t>
  </si>
  <si>
    <t>一种光线路终端侧检测光网络单元光功率的方法和装置</t>
  </si>
  <si>
    <t>黄  茜|陆建鑫</t>
  </si>
  <si>
    <t>黄  茜</t>
  </si>
  <si>
    <t>H04B 10/08</t>
  </si>
  <si>
    <t>H04J14/02M</t>
  </si>
  <si>
    <t>8.89</t>
  </si>
  <si>
    <t>CN200910056904.5</t>
  </si>
  <si>
    <t>接受光功率测量指示信号的生成机制与出错保护方法</t>
  </si>
  <si>
    <t>高通创锐讯通讯科技(上海)有限公司</t>
  </si>
  <si>
    <t>李旭光|杨诚|何运锋|李珂</t>
  </si>
  <si>
    <t>李旭光</t>
  </si>
  <si>
    <t>2009/02/23</t>
  </si>
  <si>
    <t>2013/04/10</t>
  </si>
  <si>
    <t>H04B 10/079</t>
  </si>
  <si>
    <t>CN200710076580.2</t>
  </si>
  <si>
    <t>一种全球微波接入互通终端进行基站切换的方法</t>
  </si>
  <si>
    <t>刘  鑫|陈  宏</t>
  </si>
  <si>
    <t>刘  鑫</t>
  </si>
  <si>
    <t>9.31</t>
  </si>
  <si>
    <t>CN201080022908.2</t>
  </si>
  <si>
    <t>促成对接入点基站的布置的自动辅助</t>
  </si>
  <si>
    <t>A·恰托维奇|R·古普塔</t>
  </si>
  <si>
    <t>A·恰托维奇</t>
  </si>
  <si>
    <t>CN200610089794.9</t>
  </si>
  <si>
    <t>移动网络中防御网络攻击的系统和方法</t>
  </si>
  <si>
    <t>孟宪民|陈剑勇|游  庆|钱伟中|何兴高|陈  伟</t>
  </si>
  <si>
    <t>孟宪民</t>
  </si>
  <si>
    <t>2006/07/18</t>
  </si>
  <si>
    <t>13.36</t>
  </si>
  <si>
    <t>12/176,096</t>
  </si>
  <si>
    <t>Rating of message content for content control in wireless devices</t>
  </si>
  <si>
    <t>Qu; Hai|Scott; Clifton Eugene|Dowlat; Homayoun</t>
  </si>
  <si>
    <t>Qu; Hai</t>
  </si>
  <si>
    <t>2008/07/18</t>
  </si>
  <si>
    <t>H04N7/163</t>
  </si>
  <si>
    <t>CN200710135899.8</t>
  </si>
  <si>
    <t>文件定期更新下载的方法及文件更新时间信息的发送方法</t>
  </si>
  <si>
    <t>方源立|王  标|晏祥彪</t>
  </si>
  <si>
    <t>方源立</t>
  </si>
  <si>
    <t>3.3</t>
  </si>
  <si>
    <t>12/683,880</t>
  </si>
  <si>
    <t>Adaptive monitoring method for update detection in a mobile broadcast network</t>
  </si>
  <si>
    <t>Gao; Qiang|Xue; Qi|Pazos; Carlos Marcelo</t>
  </si>
  <si>
    <t>Gao; Qiang</t>
  </si>
  <si>
    <t>H04N  5/445</t>
  </si>
  <si>
    <t>H04H40/18</t>
  </si>
  <si>
    <t>CN200610090574.8</t>
  </si>
  <si>
    <t>一种正交频分复用多址接入系统中的自适应资源分配方法</t>
  </si>
  <si>
    <t>蒋小奎|张  力|王衍文|王  强</t>
  </si>
  <si>
    <t>蒋小奎</t>
  </si>
  <si>
    <t>2006/06/29</t>
  </si>
  <si>
    <t>2008/01/02</t>
  </si>
  <si>
    <t>4.30</t>
  </si>
  <si>
    <t>CN200710129617.3</t>
  </si>
  <si>
    <t>移动终端中单模多卡单待的实现方法及装置</t>
  </si>
  <si>
    <t>彭军民|宦玉萍|朱蓬勃</t>
  </si>
  <si>
    <t>彭军民</t>
  </si>
  <si>
    <t>2007/07/23</t>
  </si>
  <si>
    <t>H04M1/725F1B1</t>
  </si>
  <si>
    <t>14/188,796</t>
  </si>
  <si>
    <t>System and methods for improving network registration for all SIMs of a multi-SIM device using a dynamically-determined registration order</t>
  </si>
  <si>
    <t>Nayak; Shivank|Kumar; Ajeet|Patil; Rajesh Madhukar</t>
  </si>
  <si>
    <t>Nayak; Shivank</t>
  </si>
  <si>
    <t>CN200610149684.7</t>
  </si>
  <si>
    <t>PCS用户和3G用户一号双待机实现网络接入的方法</t>
  </si>
  <si>
    <t>吕剑明|穆建宏|贺旻捷|孙敬坤</t>
  </si>
  <si>
    <t>吕剑明</t>
  </si>
  <si>
    <t>4.31</t>
  </si>
  <si>
    <t>CN200710143445.5</t>
  </si>
  <si>
    <t>文件更新时间信息发送方法及文件不定期更新下载的方法</t>
  </si>
  <si>
    <t>方源立|王  标|江  华|晏祥彪</t>
  </si>
  <si>
    <t>2.5</t>
  </si>
  <si>
    <t>CN200610108900.3</t>
  </si>
  <si>
    <t>演进的无线系统与传统的无线系统间的切换方法</t>
  </si>
  <si>
    <t>宗在峰|朱进国|吴  瑟</t>
  </si>
  <si>
    <t>宗在峰</t>
  </si>
  <si>
    <t>2006/08/21</t>
  </si>
  <si>
    <t>30.58</t>
  </si>
  <si>
    <t>CN2013/075975</t>
  </si>
  <si>
    <t>CN200710129417.8</t>
  </si>
  <si>
    <t>一种Reed－Solomon码解码器</t>
  </si>
  <si>
    <t>刘  毅|史洪波|谢  军|袁松馨|涂晓东|胡  钢</t>
  </si>
  <si>
    <t>刘  毅</t>
  </si>
  <si>
    <t>2007/11/28</t>
  </si>
  <si>
    <t>H03M 13/15</t>
  </si>
  <si>
    <t>CN200910056944.X</t>
  </si>
  <si>
    <t>里德-索罗蒙编码器实现方法</t>
  </si>
  <si>
    <t>李东川|王星|胡新宇</t>
  </si>
  <si>
    <t>李东川</t>
  </si>
  <si>
    <t>2012/12/26</t>
  </si>
  <si>
    <t>CN200710074977.8</t>
  </si>
  <si>
    <t>一种TD-SCDMA系统移动终端进行初始小区搜索的方法</t>
  </si>
  <si>
    <t>萧少宁</t>
  </si>
  <si>
    <t>2007/06/15</t>
  </si>
  <si>
    <t>2.22</t>
  </si>
  <si>
    <t>CN2012/086769</t>
  </si>
  <si>
    <t>CN200710109305.6</t>
  </si>
  <si>
    <t>多接入终端最大发射功率的获取方法</t>
  </si>
  <si>
    <t>禹  忠</t>
  </si>
  <si>
    <t>2007/05/25</t>
  </si>
  <si>
    <t>1.59</t>
  </si>
  <si>
    <t>12/357,698</t>
  </si>
  <si>
    <t>Power headroom management in wireless communication systems</t>
  </si>
  <si>
    <t>Athalye; Sanjeev Arvind|Agrawal; Avneesh</t>
  </si>
  <si>
    <t>Athalye; Sanjeev Arvind</t>
  </si>
  <si>
    <t>2008/01/25</t>
  </si>
  <si>
    <t>2009/01/22</t>
  </si>
  <si>
    <t>CN200610075843.3</t>
  </si>
  <si>
    <t>一种实现多播/广播业务的资源预留方法</t>
  </si>
  <si>
    <t>刘云中|徐红梅|陈  宏|娄笃仕</t>
  </si>
  <si>
    <t>刘云中</t>
  </si>
  <si>
    <t>14.30</t>
  </si>
  <si>
    <t>CN200980144123.X</t>
  </si>
  <si>
    <t>用于多址网络中的快速网络进入和重进入的方法和系统</t>
  </si>
  <si>
    <t>D·S·金|J·R·朴|J·W·金</t>
  </si>
  <si>
    <t>D·S·金</t>
  </si>
  <si>
    <t>2008/11/06</t>
  </si>
  <si>
    <t>CN200710091156.5</t>
  </si>
  <si>
    <t>一种Turbo码内交织器的实现方法</t>
  </si>
  <si>
    <t>李  强</t>
  </si>
  <si>
    <t>2007/04/10</t>
  </si>
  <si>
    <t>H03M13/29T</t>
  </si>
  <si>
    <t>CN201080046046.7</t>
  </si>
  <si>
    <t>LTETURBO解码器的采用二次置换多项式交织器的无竞争存储设计</t>
  </si>
  <si>
    <t>H·潘|魏永斌</t>
  </si>
  <si>
    <t>H·潘</t>
  </si>
  <si>
    <t>2009/10/29</t>
  </si>
  <si>
    <t>2010/10/29</t>
  </si>
  <si>
    <t>CN200710090888.2</t>
  </si>
  <si>
    <t>用户面观测到达时间差定位方法</t>
  </si>
  <si>
    <t>李  群|刘玉平|赵明鹤</t>
  </si>
  <si>
    <t>李  群</t>
  </si>
  <si>
    <t>2007/04/09</t>
  </si>
  <si>
    <t>19.39</t>
  </si>
  <si>
    <t>CN201280013786.X</t>
  </si>
  <si>
    <t>用于确定对于小区的时序信息的方法和装置</t>
  </si>
  <si>
    <t>N·E·坦尼</t>
  </si>
  <si>
    <t>CN200710073155.8</t>
  </si>
  <si>
    <t>一种空间复用多输入多输出系统中发射天线的选择方法</t>
  </si>
  <si>
    <t>耿  鹏|江  海|王文杰|呙铭志</t>
  </si>
  <si>
    <t>耿  鹏</t>
  </si>
  <si>
    <t>2007/01/31</t>
  </si>
  <si>
    <t>2007/08/08</t>
  </si>
  <si>
    <t>H04B7/06C1F</t>
  </si>
  <si>
    <t>3.18</t>
  </si>
  <si>
    <t>CN2012/083203</t>
  </si>
  <si>
    <t>Receiver diversity control for acquisition mode in td-scdma systems</t>
  </si>
  <si>
    <t>高通|CHEN,Jinghu|SHEN,Qiang|KANG,Insung|ZHAO,Wanlun|HOU,Jilei</t>
  </si>
  <si>
    <t>高通|chen jinghu|shen qiang|kang insung|zhao wanlun|hou jilei</t>
  </si>
  <si>
    <t>CHEN,Jinghu|SHEN,Qiang|KANG,Insung|ZHAO,Wanlun|HOU,Jilei</t>
  </si>
  <si>
    <t>CHEN,Jinghu</t>
  </si>
  <si>
    <t>CN200710006009.3</t>
  </si>
  <si>
    <t>以太网无源光网络终端常发光故障检测和定位方法</t>
  </si>
  <si>
    <t>于金辉|谢云鹏|胡  晨</t>
  </si>
  <si>
    <t>于金辉</t>
  </si>
  <si>
    <t>2007/01/23</t>
  </si>
  <si>
    <t>6.57</t>
  </si>
  <si>
    <t>CN200510126135.3</t>
  </si>
  <si>
    <t>在异步传输模式的永久虚电路端口实现服务质量的方法</t>
  </si>
  <si>
    <t>刘  晔</t>
  </si>
  <si>
    <t>H04L12/56D</t>
  </si>
  <si>
    <t>CN201010239780.7</t>
  </si>
  <si>
    <t>ATM信元重组共享缓存系统及其实现方法</t>
  </si>
  <si>
    <t>蔡云阳|何运锋</t>
  </si>
  <si>
    <t>蔡云阳</t>
  </si>
  <si>
    <t>CN200610162125.X</t>
  </si>
  <si>
    <t>一种移动多媒体广播电子业务指南的传输方法</t>
  </si>
  <si>
    <t>柯尊友|文海龙|李木金|姚清华|王  标</t>
  </si>
  <si>
    <t>柯尊友</t>
  </si>
  <si>
    <t>2006/12/05</t>
  </si>
  <si>
    <t>4.37</t>
  </si>
  <si>
    <t>CN200880020994.6</t>
  </si>
  <si>
    <t>控制信道格式指示的频率映射</t>
  </si>
  <si>
    <t>张晓霞|D·P·马拉蒂|J·蒙托霍</t>
  </si>
  <si>
    <t>2014/02/12</t>
  </si>
  <si>
    <t>CN200610141005.1</t>
  </si>
  <si>
    <t>采用变长帧提高传送效率的移动多媒体广播系统及其方法</t>
  </si>
  <si>
    <t>晏祥彪|沈  灿|李  嵘</t>
  </si>
  <si>
    <t>晏祥彪</t>
  </si>
  <si>
    <t>H04N7/58</t>
  </si>
  <si>
    <t>12/984,032</t>
  </si>
  <si>
    <t>Transport layer modification to enable transmission gaps</t>
  </si>
  <si>
    <t>Raveendran; Vijayalakshmi R.|Bhamidipati; PhaniKumar K.|Determan; James T.</t>
  </si>
  <si>
    <t>H04N 21/434</t>
  </si>
  <si>
    <t>H04N21/435</t>
  </si>
  <si>
    <t>CN200510101074.5</t>
  </si>
  <si>
    <t>一种应用于正交频分复用系统的数据传送方法</t>
  </si>
  <si>
    <t>12/543,441</t>
  </si>
  <si>
    <t>Unequal multipath protection of different frames within a superframe using different cyclic prefix lengths</t>
  </si>
  <si>
    <t>Griot; Miguel|Dayal; Pranav</t>
  </si>
  <si>
    <t>Griot; Miguel</t>
  </si>
  <si>
    <t>2009/08/18</t>
  </si>
  <si>
    <t>CN200510041384.2</t>
  </si>
  <si>
    <t>一种WCDMA系统中选择定位方式的方法及装置</t>
  </si>
  <si>
    <t>李春艳</t>
  </si>
  <si>
    <t>12/796,238</t>
  </si>
  <si>
    <t>Mobile-based positioning with non-conforming use of assistance data</t>
  </si>
  <si>
    <t>Edge; Stephen W.|Agashe; Parag Arun|Fischer; Sven|Ische; Marc A.|Tenny; Nathan Edward</t>
  </si>
  <si>
    <t>G01S 19/25</t>
  </si>
  <si>
    <t>G01S5/0236</t>
  </si>
  <si>
    <t>CN200510075373.6</t>
  </si>
  <si>
    <t>一种宽带码分多址系统同步信道发送码片级实现方法</t>
  </si>
  <si>
    <t>赵延宾|陈月峰|徐心明|刘新阳</t>
  </si>
  <si>
    <t>赵延宾</t>
  </si>
  <si>
    <t>2006/12/20</t>
  </si>
  <si>
    <t>3.13</t>
  </si>
  <si>
    <t>CN200880017323.4</t>
  </si>
  <si>
    <t>同步信道的加扰方法</t>
  </si>
  <si>
    <t>CN200520130489.0</t>
  </si>
  <si>
    <t>一种抑制以太网接口电磁干扰的电路</t>
  </si>
  <si>
    <t>齐建</t>
  </si>
  <si>
    <t>2005/11/08</t>
  </si>
  <si>
    <t>2006/12/06</t>
  </si>
  <si>
    <t>H04L 12/02</t>
  </si>
  <si>
    <t>H04L12/10</t>
  </si>
  <si>
    <t>1.76</t>
  </si>
  <si>
    <t>13/773,449</t>
  </si>
  <si>
    <t>Port isolation in shared transformers</t>
  </si>
  <si>
    <t>Choksi; Ojas M|Khatri; Himanshu|Sabouri; Faramarz|Zhuo; Wei</t>
  </si>
  <si>
    <t>Choksi; Ojas M</t>
  </si>
  <si>
    <t>H03F  1/26</t>
  </si>
  <si>
    <t>H03F1/26</t>
  </si>
  <si>
    <t>CN200510071052.9</t>
  </si>
  <si>
    <t>一种无线资源控制无线配置激活时间选取方法</t>
  </si>
  <si>
    <t>吕应权</t>
  </si>
  <si>
    <t>2005/05/23</t>
  </si>
  <si>
    <t>12/241,416</t>
  </si>
  <si>
    <t>Method and apparatus for implementing LTE RLC header formats</t>
  </si>
  <si>
    <t>CN200510069214.5</t>
  </si>
  <si>
    <t>以太网数据包与多个DSP串口数据转发的方法和系统</t>
  </si>
  <si>
    <t>王晋涛|王洪斌</t>
  </si>
  <si>
    <t>王晋涛</t>
  </si>
  <si>
    <t>CN201310133750.1</t>
  </si>
  <si>
    <t>无线通信系统中用于非活动状态的增强的上行链路</t>
  </si>
  <si>
    <t>S·D·桑布瓦尼|B·莫汉蒂|F·格里利|J·蒙托霍|M·亚武兹|R·卡普尔</t>
  </si>
  <si>
    <t>CN200510034547.4</t>
  </si>
  <si>
    <t>多输入多输出的信道估计装置、系统及方法</t>
  </si>
  <si>
    <t>2005/05/01</t>
  </si>
  <si>
    <t>H04B1/707F2J</t>
  </si>
  <si>
    <t>CN200880007087.8</t>
  </si>
  <si>
    <t>用于多载波系统中的信道估计的时序调整</t>
  </si>
  <si>
    <t>马蒂亚斯·布雷勒|约瑟夫·陈</t>
  </si>
  <si>
    <t>马蒂亚斯·布雷勒</t>
  </si>
  <si>
    <t>2007/03/05</t>
  </si>
  <si>
    <t>2008/03/04</t>
  </si>
  <si>
    <t>2013/05/22</t>
  </si>
  <si>
    <t>CN200510051164.8</t>
  </si>
  <si>
    <t>宽带码分多址系统智能天线的实现方法及装置</t>
  </si>
  <si>
    <t>王衍文|张力</t>
  </si>
  <si>
    <t>2006/09/06</t>
  </si>
  <si>
    <t>CN200410101505.3</t>
  </si>
  <si>
    <t>遵循IEEE802.16标准的宽带无线接入系统的带宽分配方法</t>
  </si>
  <si>
    <t>彭宏伟|周晓星|刘玉平</t>
  </si>
  <si>
    <t>彭宏伟</t>
  </si>
  <si>
    <t>2006/07/05</t>
  </si>
  <si>
    <t>14.27</t>
  </si>
  <si>
    <t>12/365,791</t>
  </si>
  <si>
    <t>Method for ranging devices using code sequences in WLANs</t>
  </si>
  <si>
    <t>Vermani; Sameer|Sampath; Hemanth|Aggarwal; Alok|Merlin; Simone</t>
  </si>
  <si>
    <t>H04J11/00</t>
  </si>
  <si>
    <t>CN200510109550.8</t>
  </si>
  <si>
    <t>多频点TD－SCDMA系统中高速下行分组业务的实现方法</t>
  </si>
  <si>
    <t>2005/10/21</t>
  </si>
  <si>
    <t>2006/03/22</t>
  </si>
  <si>
    <t>5.95</t>
  </si>
  <si>
    <t>CN200880008419.4</t>
  </si>
  <si>
    <t>PICH-HS定时和操作</t>
  </si>
  <si>
    <t>A·戈尔米|F·格里利|E·F·沙蓬尼尔|O·弗洛尔</t>
  </si>
  <si>
    <t>2007/03/15</t>
  </si>
  <si>
    <t>CN200510083126.0</t>
  </si>
  <si>
    <t>接力切换中目标小区用户数据发送点的选择方法</t>
  </si>
  <si>
    <t>万建超|方炜|李宁|马子江</t>
  </si>
  <si>
    <t>2005/07/13</t>
  </si>
  <si>
    <t>2005/12/21</t>
  </si>
  <si>
    <t>13/384,189</t>
  </si>
  <si>
    <t>Method and apparatus for power correction in uplink synchronization during a TD-SCDMA handover</t>
  </si>
  <si>
    <t>CN200410046343.8</t>
  </si>
  <si>
    <t>一种无线通信系统中选择加密算法的方法</t>
  </si>
  <si>
    <t>程翔|王之曦</t>
  </si>
  <si>
    <t>程翔</t>
  </si>
  <si>
    <t>2004/06/04</t>
  </si>
  <si>
    <t>2005/12/14</t>
  </si>
  <si>
    <t>H04L  9/28</t>
  </si>
  <si>
    <t>2.43</t>
  </si>
  <si>
    <t>CN200780012564.5</t>
  </si>
  <si>
    <t>加密配置改变期间的不中断传输的方法和设备</t>
  </si>
  <si>
    <t>沙伊莱什·马赫什瓦里|基兰·齐卡帕|维韦克·拉马钱德兰</t>
  </si>
  <si>
    <t>沙伊莱什·马赫什瓦里</t>
  </si>
  <si>
    <t>2006/04/28</t>
  </si>
  <si>
    <t>2007/04/29</t>
  </si>
  <si>
    <t>CN200310106647.4</t>
  </si>
  <si>
    <t>基于网络处理器的流量控制方法</t>
  </si>
  <si>
    <t>胡福军</t>
  </si>
  <si>
    <t>2003/10/16</t>
  </si>
  <si>
    <t>2005/04/20</t>
  </si>
  <si>
    <t>H04L 12/08</t>
  </si>
  <si>
    <t>8.23</t>
  </si>
  <si>
    <t>CN200910056913.4</t>
  </si>
  <si>
    <t>计量器的令牌更新方法</t>
  </si>
  <si>
    <t>张荣斌|何运锋|李珂|李旭光|杨诚</t>
  </si>
  <si>
    <t>张荣斌</t>
  </si>
  <si>
    <t>CN200410027537.3</t>
  </si>
  <si>
    <t>数字集群系统与普通电话系统互联互通的方法</t>
  </si>
  <si>
    <t>耿兆森|吴强|李铁</t>
  </si>
  <si>
    <t>H04M7/00B2</t>
  </si>
  <si>
    <t>9.66</t>
  </si>
  <si>
    <t>CN200780006356.4</t>
  </si>
  <si>
    <t>用于向无线调度优先权用户提供通信资源的系统和方法</t>
  </si>
  <si>
    <t>贝斯·安·布鲁尔|阿鲁尔莫志·卡西·阿南塔纳拉亚南</t>
  </si>
  <si>
    <t>贝斯·安·布鲁尔</t>
  </si>
  <si>
    <t>2006/02/27</t>
  </si>
  <si>
    <t>2007/02/27</t>
  </si>
  <si>
    <t>2012/01/11</t>
  </si>
  <si>
    <t>H04W  4/22</t>
  </si>
  <si>
    <t>CN200410037034.4</t>
  </si>
  <si>
    <t>一种语音自适应多速率的速率调整方法</t>
  </si>
  <si>
    <t>黄胜华|窦建武|李大鹏</t>
  </si>
  <si>
    <t>黄胜华</t>
  </si>
  <si>
    <t>2004/04/23</t>
  </si>
  <si>
    <t>2005/01/26</t>
  </si>
  <si>
    <t>H04B7/005B1K</t>
  </si>
  <si>
    <t>CN200780033010.3</t>
  </si>
  <si>
    <t>无线通信系统中从资源失配进行的恢复</t>
  </si>
  <si>
    <t>M·J·博兰|A·戈罗霍夫|A·汉德卡尔|季庭方</t>
  </si>
  <si>
    <t>M·J·博兰</t>
  </si>
  <si>
    <t>2006/09/08</t>
  </si>
  <si>
    <t>2007/09/05</t>
  </si>
  <si>
    <t>CN03131890.8</t>
  </si>
  <si>
    <t>产生给定带宽和功率谱密度噪声的方法及装置</t>
  </si>
  <si>
    <t>袁翔|刘刚|王文杰</t>
  </si>
  <si>
    <t>袁翔</t>
  </si>
  <si>
    <t>H04L25/03B3</t>
  </si>
  <si>
    <t>CN200880125575.9</t>
  </si>
  <si>
    <t>信号创新的稀疏取样</t>
  </si>
  <si>
    <t>蒂埃里·布吕|马丁·费特立|利昂内尔·库洛</t>
  </si>
  <si>
    <t>蒂埃里·布吕</t>
  </si>
  <si>
    <t>2008/01/29</t>
  </si>
  <si>
    <t>2015/12/09</t>
  </si>
  <si>
    <t>G06F 17/10</t>
  </si>
  <si>
    <t>CN200410046468.0</t>
  </si>
  <si>
    <t>一种以太网接口热备份的装置及方法</t>
  </si>
  <si>
    <t>詹徐周|付计划|吴应祥</t>
  </si>
  <si>
    <t>詹徐周</t>
  </si>
  <si>
    <t>2004/02/26</t>
  </si>
  <si>
    <t>2004/06/09</t>
  </si>
  <si>
    <t>2005/01/05</t>
  </si>
  <si>
    <t>1.74</t>
  </si>
  <si>
    <t>CN200680026463.9</t>
  </si>
  <si>
    <t>在多宿主多模式通信装置中选择数据接口</t>
  </si>
  <si>
    <t>厄平德·辛格·巴贝尔|菲尔·J·博斯特利|文卡塔·萨蒂什·库马尔·凡加拉|维纳伊·帕拉德卡尔</t>
  </si>
  <si>
    <t>厄平德·辛格·巴贝尔</t>
  </si>
  <si>
    <t>2006/06/01</t>
  </si>
  <si>
    <t>2013/01/16</t>
  </si>
  <si>
    <t>CN200410000644.7</t>
  </si>
  <si>
    <t>蜂窝移动通讯网络性能数据处理方法</t>
  </si>
  <si>
    <t>王辉|徐明|苏兴明|张旭东|潘韶龙|王峰|曾洪波|潘国栋|叶仁召</t>
  </si>
  <si>
    <t>王辉</t>
  </si>
  <si>
    <t>2004/01/15</t>
  </si>
  <si>
    <t>2004/12/29</t>
  </si>
  <si>
    <t>B66B</t>
  </si>
  <si>
    <t>B66B1/20P</t>
  </si>
  <si>
    <t>CN200680014129.1</t>
  </si>
  <si>
    <t>用于确定无线装置的语音及/或数据处理性能的设备和方法</t>
  </si>
  <si>
    <t>肯尼 ·福克|蒂亚 ·曼宁 ·卡塞特|黄智玄|埃里克 ·奇 ·庄 ·叶</t>
  </si>
  <si>
    <t>肯尼 ·福克</t>
  </si>
  <si>
    <t>2005/03/04</t>
  </si>
  <si>
    <t>2006/03/06</t>
  </si>
  <si>
    <t>H04W  8/22</t>
  </si>
  <si>
    <t>CN200410032011.4</t>
  </si>
  <si>
    <t>基于数字锁相环的PHS系统位同步方法及实现装置</t>
  </si>
  <si>
    <t>吴枫|王文杰</t>
  </si>
  <si>
    <t>吴枫</t>
  </si>
  <si>
    <t>2004/01/05</t>
  </si>
  <si>
    <t>2004/03/25</t>
  </si>
  <si>
    <t>H04L  7/033</t>
  </si>
  <si>
    <t>H04L7/033</t>
  </si>
  <si>
    <t>CN200880123895.0</t>
  </si>
  <si>
    <t>具有门控时间-数字转换器的数字锁相环路</t>
  </si>
  <si>
    <t>孙博|居坎瓦尔·辛格·萨霍塔|杨兹翔</t>
  </si>
  <si>
    <t>孙博</t>
  </si>
  <si>
    <t>H04L  7/00</t>
  </si>
  <si>
    <t>CN03131848.7</t>
  </si>
  <si>
    <t>一种基于数字波束形成的智能天线实现方法及装置</t>
  </si>
  <si>
    <t>深圳市中兴通讯股份有限公司南京分公司</t>
  </si>
  <si>
    <t>杨锋|袁翔|李蓉</t>
  </si>
  <si>
    <t>杨锋</t>
  </si>
  <si>
    <t>2003/06/06</t>
  </si>
  <si>
    <t>H04Q7/36B</t>
  </si>
  <si>
    <t>2.69</t>
  </si>
  <si>
    <t>CN200680010957.8</t>
  </si>
  <si>
    <t>允许波束形成和旧式设备共存的无线消息前同步码</t>
  </si>
  <si>
    <t>V·K·琼斯|A·范泽斯特|R·D·J·范尼</t>
  </si>
  <si>
    <t>V·K·琼斯</t>
  </si>
  <si>
    <t>2005/02/08</t>
  </si>
  <si>
    <t>CN03131818.5</t>
  </si>
  <si>
    <t>一种实现多媒体设备之间建立呼叫的方法</t>
  </si>
  <si>
    <t>沈灿|李军|靳自鸣</t>
  </si>
  <si>
    <t>沈灿</t>
  </si>
  <si>
    <t>4.43</t>
  </si>
  <si>
    <t>CN201010503308.X</t>
  </si>
  <si>
    <t>使用基于IP的接口在TE2装置上支持无线数据业务的方法和设备</t>
  </si>
  <si>
    <t>厄平德·辛格·巴贝尔|马尔切洛·利奥伊|尼什沙尔·阿布罗</t>
  </si>
  <si>
    <t>CN03131826.6</t>
  </si>
  <si>
    <t>一种实现媒体流穿越网络地址转换设备的方法</t>
  </si>
  <si>
    <t>沈灿|曹珈|吕远|李春生|刘湘宇</t>
  </si>
  <si>
    <t>6.11</t>
  </si>
  <si>
    <t>CN200310111948.6</t>
  </si>
  <si>
    <t>一种移动定位方法</t>
  </si>
  <si>
    <t>2003/10/24</t>
  </si>
  <si>
    <t>10.36</t>
  </si>
  <si>
    <t>CN200310111807.4</t>
  </si>
  <si>
    <t>一种CDMA2000系统分组数据业务服务质量实现的方法</t>
  </si>
  <si>
    <t>游洪波|杨嘉安</t>
  </si>
  <si>
    <t>游洪波</t>
  </si>
  <si>
    <t>2003/10/13</t>
  </si>
  <si>
    <t>9.49</t>
  </si>
  <si>
    <t>CN200780002085.5</t>
  </si>
  <si>
    <t>通过释放QoS资源节省网络容量</t>
  </si>
  <si>
    <t>A·T·帕亚佩里|S·N·诺卡拉|V·A·萨利</t>
  </si>
  <si>
    <t>A·T·帕亚佩里</t>
  </si>
  <si>
    <t>2006/01/06</t>
  </si>
  <si>
    <t>CN03156382.1</t>
  </si>
  <si>
    <t>GPRS系统中的一种下行数据传输指派方法</t>
  </si>
  <si>
    <t>唐雪|孟志浩</t>
  </si>
  <si>
    <t>唐雪</t>
  </si>
  <si>
    <t>2003/09/05</t>
  </si>
  <si>
    <t>2004/08/25</t>
  </si>
  <si>
    <t>1.31</t>
  </si>
  <si>
    <t>CN200780044393.4</t>
  </si>
  <si>
    <t>用于无线通信系统中控制消息的确认的方法</t>
  </si>
  <si>
    <t>A·坎得尔卡|A·格洛科夫|A·阿格拉沃尔|S·兰根|A·达斯</t>
  </si>
  <si>
    <t>A·坎得尔卡</t>
  </si>
  <si>
    <t>2007/11/30</t>
  </si>
  <si>
    <t>2013/10/16</t>
  </si>
  <si>
    <t>CN03156381.3</t>
  </si>
  <si>
    <t>GPRS系统中的一种下行数据传输重指派方法</t>
  </si>
  <si>
    <t>H04Q7/38C2D</t>
  </si>
  <si>
    <t>4.76</t>
  </si>
  <si>
    <t>CN200680027820.3</t>
  </si>
  <si>
    <t>替代指派确认消息的链路指派消息</t>
  </si>
  <si>
    <t>格温德琳·D·巴里亚克|爱德华·哈里森·蒂格</t>
  </si>
  <si>
    <t>格温德琳·D·巴里亚克</t>
  </si>
  <si>
    <t>2006/06/16</t>
  </si>
  <si>
    <t>CN02139939.5</t>
  </si>
  <si>
    <t>一种任意分频器及其实现方法</t>
  </si>
  <si>
    <t>李斌|王艳儒|谢俊杰</t>
  </si>
  <si>
    <t>李斌</t>
  </si>
  <si>
    <t>2002/12/26</t>
  </si>
  <si>
    <t>2004/07/07</t>
  </si>
  <si>
    <t>H03B</t>
  </si>
  <si>
    <t>H03B 19/00</t>
  </si>
  <si>
    <t>H03L7/081</t>
  </si>
  <si>
    <t>CN200780024722.9</t>
  </si>
  <si>
    <t>低功率模量分频级</t>
  </si>
  <si>
    <t>C·纳拉斯隆|苏文君</t>
  </si>
  <si>
    <t>C·纳拉斯隆</t>
  </si>
  <si>
    <t>2006/06/28</t>
  </si>
  <si>
    <t>2007/06/27</t>
  </si>
  <si>
    <t>H03K 23/00</t>
  </si>
  <si>
    <t>CN02145137.0</t>
  </si>
  <si>
    <t>用于分组无线网与无线局域网混合部署的无缝漫游方法</t>
  </si>
  <si>
    <t>张凯|陈磊|王炎|杭靠文|庄文东</t>
  </si>
  <si>
    <t>张凯</t>
  </si>
  <si>
    <t>2002/11/05</t>
  </si>
  <si>
    <t>2.92</t>
  </si>
  <si>
    <t>CN200880008722.4</t>
  </si>
  <si>
    <t>多频网络中的越区切换</t>
  </si>
  <si>
    <t>比尼塔·古普塔|李林波|拉古拉曼·克里希纳穆尔蒂|阿肖克·曼特拉瓦蒂</t>
  </si>
  <si>
    <t>比尼塔·古普塔</t>
  </si>
  <si>
    <t>2013/06/26</t>
  </si>
  <si>
    <t>CN03135594.3</t>
  </si>
  <si>
    <t>CDMA无线通信集群系统和实现群呼服务的方法</t>
  </si>
  <si>
    <t>深圳中兴集讯通信有限公司</t>
  </si>
  <si>
    <t>蒋建平|方永刚|拉杰什·巴拉|江辉</t>
  </si>
  <si>
    <t>蒋建平</t>
  </si>
  <si>
    <t>2003/08/15</t>
  </si>
  <si>
    <t>2004/05/12</t>
  </si>
  <si>
    <t>32.60</t>
  </si>
  <si>
    <t>CN200880108257.1</t>
  </si>
  <si>
    <t>无线通信装置群组中的接口的连续维持</t>
  </si>
  <si>
    <t>宋伯扬|哈林·吉尔</t>
  </si>
  <si>
    <t>宋伯扬</t>
  </si>
  <si>
    <t>CN02136883.X</t>
  </si>
  <si>
    <t>宽带码分多址系统中的自适应波束形成方法</t>
  </si>
  <si>
    <t>深圳市中兴通迅股份有限公司</t>
  </si>
  <si>
    <t>王衍文|迟立东|同鸣</t>
  </si>
  <si>
    <t>2002/09/05</t>
  </si>
  <si>
    <t>2004/03/10</t>
  </si>
  <si>
    <t>1.50</t>
  </si>
  <si>
    <t>CN200780047294.1</t>
  </si>
  <si>
    <t>基于信道质量反馈的波束空时编码</t>
  </si>
  <si>
    <t>A·F·纳吉布</t>
  </si>
  <si>
    <t>2006/12/19</t>
  </si>
  <si>
    <t>2013/09/25</t>
  </si>
  <si>
    <t>CN02136456.7</t>
  </si>
  <si>
    <t>一种用于宽带码分多址系统的频间硬切换判决方法</t>
  </si>
  <si>
    <t>黄胜华|郑涛|朱伏生|续斌</t>
  </si>
  <si>
    <t>2004/02/11</t>
  </si>
  <si>
    <t>13.87</t>
  </si>
  <si>
    <t>12/119,979</t>
  </si>
  <si>
    <t>Prakash; Rajat|Khandekar; Aamod|Gorokhov; Alexei</t>
  </si>
  <si>
    <t>2008/05/13</t>
  </si>
  <si>
    <t>2013/03/05</t>
  </si>
  <si>
    <t>CN01142604.7</t>
  </si>
  <si>
    <t>一种无线基站中的信号接收方法及装置</t>
  </si>
  <si>
    <t>王晓光|赵宇|王博明|郭青</t>
  </si>
  <si>
    <t>王晓光</t>
  </si>
  <si>
    <t>2001/12/07</t>
  </si>
  <si>
    <t>5.38</t>
  </si>
  <si>
    <t>CN200980119648.8</t>
  </si>
  <si>
    <t>用于多个接收天线的多路复用布置</t>
  </si>
  <si>
    <t>罗伯托·里米尼</t>
  </si>
  <si>
    <t>2008/06/02</t>
  </si>
  <si>
    <t>2009/06/02</t>
  </si>
  <si>
    <t>2014/03/19</t>
  </si>
  <si>
    <t>CN01131961.5</t>
  </si>
  <si>
    <t>多频段扩频无线接入网</t>
  </si>
  <si>
    <t>向际鹰|朱龙明</t>
  </si>
  <si>
    <t>向际鹰</t>
  </si>
  <si>
    <t>2001/10/17</t>
  </si>
  <si>
    <t>2003/04/23</t>
  </si>
  <si>
    <t>3.55</t>
  </si>
  <si>
    <t>CN200880009842.6</t>
  </si>
  <si>
    <t>用于在多频网络中分配内容的方法及设备</t>
  </si>
  <si>
    <t>比尼塔·古普塔|陈安梅|德瓦什·沙阿</t>
  </si>
  <si>
    <t>2007/04/03</t>
  </si>
  <si>
    <t>2008/04/03</t>
  </si>
  <si>
    <t>CN01114891.8</t>
  </si>
  <si>
    <t>一种对组播业务进行认证的方法</t>
  </si>
  <si>
    <t>严超</t>
  </si>
  <si>
    <t>2001/07/09</t>
  </si>
  <si>
    <t>2003/02/05</t>
  </si>
  <si>
    <t>22.51</t>
  </si>
  <si>
    <t>CN200680039575.8</t>
  </si>
  <si>
    <t>使用移动电话号码访问电信设备</t>
  </si>
  <si>
    <t>N·简恩|P·E·雅各布斯</t>
  </si>
  <si>
    <t>N·简恩</t>
  </si>
  <si>
    <t>2006/10/25</t>
  </si>
  <si>
    <t>2014/07/23</t>
  </si>
  <si>
    <t>CN01112850.X</t>
  </si>
  <si>
    <t>大视图分块缓冲显示方法</t>
  </si>
  <si>
    <t>李伽|黄晓军</t>
  </si>
  <si>
    <t>李伽</t>
  </si>
  <si>
    <t>2001/05/06</t>
  </si>
  <si>
    <t>2002/12/11</t>
  </si>
  <si>
    <t>G06F  3/14</t>
  </si>
  <si>
    <t>G06F17/30N</t>
  </si>
  <si>
    <t>CN200780012576.8</t>
  </si>
  <si>
    <t>用以促进使用小行缓冲器来处理小或大图像的技术</t>
  </si>
  <si>
    <t>斯蒂芬·莫洛伊</t>
  </si>
  <si>
    <t>2006/04/11</t>
  </si>
  <si>
    <t>2012/08/08</t>
  </si>
  <si>
    <t>G06T</t>
  </si>
  <si>
    <t>G06T  1/60</t>
  </si>
  <si>
    <t>CN01105816.1</t>
  </si>
  <si>
    <t>一种宽带码分多址系统混合业务容量的计算方法</t>
  </si>
  <si>
    <t>李元</t>
  </si>
  <si>
    <t>2001/03/27</t>
  </si>
  <si>
    <t>2002/10/30</t>
  </si>
  <si>
    <t>H04Q7/36P</t>
  </si>
  <si>
    <t>7.39</t>
  </si>
  <si>
    <t>CN200480036712.3</t>
  </si>
  <si>
    <t>用于无线通信环境中的数据发射和处理的方法、设备和系统</t>
  </si>
  <si>
    <t>N·布尚|R·H·埃特金</t>
  </si>
  <si>
    <t>N·布尚</t>
  </si>
  <si>
    <t>2003/11/03</t>
  </si>
  <si>
    <t>2004/10/28</t>
  </si>
  <si>
    <t>CN00127928.9</t>
  </si>
  <si>
    <t>一种移动通信方法与系统</t>
  </si>
  <si>
    <t>邱世魁</t>
  </si>
  <si>
    <t>CN200780026830.X</t>
  </si>
  <si>
    <t>支持多个连接的方法和装置</t>
  </si>
  <si>
    <t>R·拉罗亚|A·达斯|M·斯里尼瓦森|P·阿尼格施泰因|V·帕里兹斯基|M·S·柯森</t>
  </si>
  <si>
    <t>R·拉罗亚</t>
  </si>
  <si>
    <t>2007/07/13</t>
  </si>
  <si>
    <t>CN00125043.4</t>
  </si>
  <si>
    <t>通讯系统备份方法和设备</t>
  </si>
  <si>
    <t>丁贵祥|杜元光</t>
  </si>
  <si>
    <t>丁贵祥</t>
  </si>
  <si>
    <t>2000/09/02</t>
  </si>
  <si>
    <t>2002/03/20</t>
  </si>
  <si>
    <t>H04B  1/74</t>
  </si>
  <si>
    <t>G06F11/14A4B1H</t>
  </si>
  <si>
    <t>17.33</t>
  </si>
  <si>
    <t>CN200780033725.9</t>
  </si>
  <si>
    <t>通信会话管理中的交易超时处理</t>
  </si>
  <si>
    <t>S·V·金德</t>
  </si>
  <si>
    <t>2006/09/12</t>
  </si>
  <si>
    <t>CN00114086.8</t>
  </si>
  <si>
    <t>光同步数字传输系统中的并行帧同步加/解扰码器</t>
  </si>
  <si>
    <t>舒保健|赵堂录</t>
  </si>
  <si>
    <t>舒保健</t>
  </si>
  <si>
    <t>2000/03/01</t>
  </si>
  <si>
    <t>2001/08/01</t>
  </si>
  <si>
    <t>H04B 10/02</t>
  </si>
  <si>
    <t>H04L25/14</t>
  </si>
  <si>
    <t>5.33</t>
  </si>
  <si>
    <t>CN99117211.6</t>
  </si>
  <si>
    <t>一种基于插入导频符号的相干信道估计方法</t>
  </si>
  <si>
    <t>张斌|任震|谢澜涛|莫毅群</t>
  </si>
  <si>
    <t>张斌</t>
  </si>
  <si>
    <t>1999/11/12</t>
  </si>
  <si>
    <t>2001/03/21</t>
  </si>
  <si>
    <t>8.0</t>
  </si>
  <si>
    <t>CN200380102367.4</t>
  </si>
  <si>
    <t>无线通信系统中的上行链路导频信号和信令传输</t>
  </si>
  <si>
    <t>兰加纳坦·克里希南|拉吉夫·维贾亚恩|塔梅尔·卡多斯</t>
  </si>
  <si>
    <t>兰加纳坦·克里希南</t>
  </si>
  <si>
    <t>2002/10/29</t>
  </si>
  <si>
    <t>2003/10/29</t>
  </si>
  <si>
    <t>CN99124415.X</t>
  </si>
  <si>
    <t>一种应用于WCDMA接收机中的信道估计方法</t>
  </si>
  <si>
    <t>任震|张斌</t>
  </si>
  <si>
    <t>任震</t>
  </si>
  <si>
    <t>1999/11/10</t>
  </si>
  <si>
    <t>2001/03/07</t>
  </si>
  <si>
    <t>4.50</t>
  </si>
  <si>
    <t>CN200380101784.7</t>
  </si>
  <si>
    <t>使用预测误差方法用于导频估计的方法和装置</t>
  </si>
  <si>
    <t>F·阿布里夏姆卡尔|K·科鲁兹 -戴尔加多</t>
  </si>
  <si>
    <t>F·阿布里夏姆卡尔</t>
  </si>
  <si>
    <t>2002/10/23</t>
  </si>
  <si>
    <t>2003/10/22</t>
  </si>
  <si>
    <t>CN99117203.5</t>
  </si>
  <si>
    <t>一种高速并行级联码的译码方法及译码器</t>
  </si>
  <si>
    <t>王进</t>
  </si>
  <si>
    <t>5.84</t>
  </si>
  <si>
    <t>CN200810214693.9</t>
  </si>
  <si>
    <t>TURBO解码器的缓冲器结构</t>
  </si>
  <si>
    <t>许大山|I·姚</t>
  </si>
  <si>
    <t>许大山</t>
  </si>
  <si>
    <t>2001/05/11</t>
  </si>
  <si>
    <t>2002/05/09</t>
  </si>
  <si>
    <t>H03M 13/29</t>
  </si>
  <si>
    <t>CN00116996.3</t>
  </si>
  <si>
    <t>一种外环功率控制的方法和系统</t>
  </si>
  <si>
    <t>2000/12/27</t>
  </si>
  <si>
    <t>7.28</t>
  </si>
  <si>
    <t>CN99124413.3</t>
  </si>
  <si>
    <t>一种抗多径路径相关的多用户检测方法及装置</t>
  </si>
  <si>
    <t>1.35</t>
  </si>
  <si>
    <t>CN038245949</t>
  </si>
  <si>
    <t>用于检测干扰多路条件的过程</t>
  </si>
  <si>
    <t>D·N·罗维奇</t>
  </si>
  <si>
    <t>2003/08/27</t>
  </si>
  <si>
    <t>G01S  1/04</t>
  </si>
  <si>
    <t>14/909,977</t>
  </si>
  <si>
    <t>Method, system and device for helping multi-mode terminal discover communications opportunities</t>
  </si>
  <si>
    <t>Xie; Feng|Dai; Bo</t>
  </si>
  <si>
    <t>Xie; Feng</t>
  </si>
  <si>
    <t>2013/08/05</t>
  </si>
  <si>
    <t>2014/05/16</t>
  </si>
  <si>
    <t>2016/06/23</t>
  </si>
  <si>
    <t>13/401,660</t>
  </si>
  <si>
    <t>Discovery reference signal design for coordinated multipoint operations in heterogeneous networks</t>
  </si>
  <si>
    <t>Xu; Hao|Luo; Xiliang|Gaal; Peter|Ji; Tingfang|Bhattad; Kapil</t>
  </si>
  <si>
    <t>H04W52/40</t>
  </si>
  <si>
    <t>14/894,373</t>
  </si>
  <si>
    <t>Method and Node for Interference Measurement via inter-Cell Cooperation</t>
  </si>
  <si>
    <t>ZHENG; Yong|LI; Yu Ngok|SUN; Yunfeng</t>
  </si>
  <si>
    <t>ZHENG; Yong</t>
  </si>
  <si>
    <t>2013/05/31</t>
  </si>
  <si>
    <t>2016/04/21</t>
  </si>
  <si>
    <t>H04L5/0073</t>
  </si>
  <si>
    <t>15/077,658</t>
  </si>
  <si>
    <t>Minimizing interference between communication networks</t>
  </si>
  <si>
    <t>Afkhami; Hassan Kaywan|Rajkotia; Purva Rameshchandra|Rende; Deniz</t>
  </si>
  <si>
    <t>Afkhami; Hassan Kaywan</t>
  </si>
  <si>
    <t>2014/06/16</t>
  </si>
  <si>
    <t>2017/01/03</t>
  </si>
  <si>
    <t>H04L12/4625</t>
  </si>
  <si>
    <t>14/436,946</t>
  </si>
  <si>
    <t>CALL REQUEST PROCESSING METHOD AND DEVICE</t>
  </si>
  <si>
    <t>Liu; Shihong|Zhang; Yu|Tang; Tie|Yang; Zhengmiao|Shao; Yongping|Ding; Guolin</t>
  </si>
  <si>
    <t>Liu; Shihong</t>
  </si>
  <si>
    <t>14/546,047</t>
  </si>
  <si>
    <t>System and methods for improving recovery from an out-of-service state by SIMs of a multi-SIM device based on user activity</t>
  </si>
  <si>
    <t>Inampudi; Venkata Srihari|Ravuvari; Ankammarao|Pitchuka; Manikanta Vara Prasad</t>
  </si>
  <si>
    <t>Inampudi; Venkata Srihari</t>
  </si>
  <si>
    <t>H04B1/3816</t>
  </si>
  <si>
    <t>14/424,838</t>
  </si>
  <si>
    <t>METHOD, APPARATUS AND SYSTEM FOR D2D COMMUNICATION</t>
  </si>
  <si>
    <t>Wu; Shuanshuan|Liang; Feng|Yuan; Ming|Yang; Jin|Yuan; Yifei</t>
  </si>
  <si>
    <t>Wu; Shuanshuan</t>
  </si>
  <si>
    <t>2015/08/27</t>
  </si>
  <si>
    <t>14/809,958</t>
  </si>
  <si>
    <t>Access class barring for device-to-device proximity service communications</t>
  </si>
  <si>
    <t>Zisimopoulos; Haris|Cheng; Hong|Vanderveen; Michaela|Tsirtsis; Georgios|Chaponniere; Lenaig Genevieve</t>
  </si>
  <si>
    <t>2015/07/27</t>
  </si>
  <si>
    <t>H04W76/023</t>
  </si>
  <si>
    <t>14/429,484</t>
  </si>
  <si>
    <t>Processing Method and Device for Packet Loss Compensation in Video-Conferencing System</t>
  </si>
  <si>
    <t>Yang; Bohui|Sun; Bo</t>
  </si>
  <si>
    <t>Yang; Bohui</t>
  </si>
  <si>
    <t>14/830,541</t>
  </si>
  <si>
    <t>Selective rate-adaptation in video telephony</t>
  </si>
  <si>
    <t>Hajj-Ahmad; Ibrahim|Singh; Vikram|Chang; Gary Chia-Jui|Das; Jyotirmoy|Lee; Tien-Hsin|Mittal; Sanjeev</t>
  </si>
  <si>
    <t>Hajj-Ahmad; Ibrahim</t>
  </si>
  <si>
    <t>14/414,783</t>
  </si>
  <si>
    <t>Data distribution method and device</t>
  </si>
  <si>
    <t>Hua; Xueqin|Huang; Jun|Zhou; Zhixiong|Cui; Zhuo</t>
  </si>
  <si>
    <t>Hua; Xueqin</t>
  </si>
  <si>
    <t>2015/07/23</t>
  </si>
  <si>
    <t>H04L5/0037</t>
  </si>
  <si>
    <t>14/525,102</t>
  </si>
  <si>
    <t>Backhaul management of a small cell using a light active estimation mechanism</t>
  </si>
  <si>
    <t>Radulescu; Andrei Dragos|Meshkati; Farhad|Prakash; Rajat|Anjaria; Rashmin Ranjitsinh|Nagaraja; Sumeeth|Chen; Tao|Menon; Vinod Viswanatha|Kamath; Sanjay Sridhar|Kim; Daehak</t>
  </si>
  <si>
    <t>Radulescu; Andrei Dragos</t>
  </si>
  <si>
    <t>2014/10/27</t>
  </si>
  <si>
    <t>H04L43/0852</t>
  </si>
  <si>
    <t>14/370,002</t>
  </si>
  <si>
    <t>Method and device for reducing mutual interference among equipment-sharing networks with adjacent bands</t>
  </si>
  <si>
    <t>Yang; Jiaojiao</t>
  </si>
  <si>
    <t>2013/06/09</t>
  </si>
  <si>
    <t>14/465,560</t>
  </si>
  <si>
    <t>Detection of bursty WiFi interference in LTE/LTE-A communications in an unlicensed spectrum</t>
  </si>
  <si>
    <t>Yerramalli; Srinivas|Luo; Tao|Bhushan; Naga|Gaal; Peter</t>
  </si>
  <si>
    <t>Yerramalli; Srinivas</t>
  </si>
  <si>
    <t>14/382,601</t>
  </si>
  <si>
    <t>METHOD, DEVICE AND MOBILE TERMINAL FOR INFORMATION BACKUP</t>
  </si>
  <si>
    <t>Zhao; Cuihua|Li; Tao</t>
  </si>
  <si>
    <t>Zhao; Cuihua</t>
  </si>
  <si>
    <t>2012/03/09</t>
  </si>
  <si>
    <t>G06F 11/14</t>
  </si>
  <si>
    <t>G06F11/1446</t>
  </si>
  <si>
    <t>14/329,790</t>
  </si>
  <si>
    <t>Dynamic sleep mode based upon battery charge</t>
  </si>
  <si>
    <t>Taha; Ali|Corleto; Hector Freires|Kashyap; Rahul</t>
  </si>
  <si>
    <t>Taha; Ali</t>
  </si>
  <si>
    <t>H04W52/0277</t>
  </si>
  <si>
    <t>14/374,133</t>
  </si>
  <si>
    <t>METHOD AND SYSTEM FOR COVERAGE ENHANCEMENT OF UPLINK VoIP</t>
  </si>
  <si>
    <t>Yuan; Yifei</t>
  </si>
  <si>
    <t>14/307,360</t>
  </si>
  <si>
    <t>Reduced circuit-switched voice user equipment current using discontinuous transmissions on dedicated channels</t>
  </si>
  <si>
    <t>Sambhwani; Sharad Deepak|Akkarakaran; Sony</t>
  </si>
  <si>
    <t>14/111,746</t>
  </si>
  <si>
    <t>METHODS AND APPARATUS FOR DETERMINING ADDRESS OF A MACHINE TYPE COMMUNICATION DEVICE IN A WIRELESS NETWORK</t>
  </si>
  <si>
    <t>2012/04/16</t>
  </si>
  <si>
    <t>2014/09/25</t>
  </si>
  <si>
    <t>H04W4/005</t>
  </si>
  <si>
    <t>14/150,248</t>
  </si>
  <si>
    <t>Broadcast and system information for machine type communication</t>
  </si>
  <si>
    <t>Xu; Hao|Chen; Wanshi|Gaal; Peter|Ji; Tingfang|Griot; Miguel</t>
  </si>
  <si>
    <t>2014/01/08</t>
  </si>
  <si>
    <t>14/204,461</t>
  </si>
  <si>
    <t>INTEGRATED RELAY IN WIRELESS COMMUNICATION NETWORKS</t>
  </si>
  <si>
    <t>Fang; Yonggang|Sun; Bo|Lv; Kaiying</t>
  </si>
  <si>
    <t>2014/09/11</t>
  </si>
  <si>
    <t>H04W84/047</t>
  </si>
  <si>
    <t>14/576,829</t>
  </si>
  <si>
    <t>Opportunistic dual-band relay</t>
  </si>
  <si>
    <t>Zhou; Yan|Cherian; George|Merlin; Simone</t>
  </si>
  <si>
    <t>2014/12/19</t>
  </si>
  <si>
    <t>14/233,479</t>
  </si>
  <si>
    <t>LINK AGGREGATION SYSTEM, PROTECTION SYSTEM, AND CROSS POLARIZATION INTERFERENCE CANCELLATION APPLICATIONS FOR ALL OUTDOOR RADIOS USING WIRELESS CHANNELS OPERATING AT A LICENSING-FREE 60 GHZ BAND</t>
  </si>
  <si>
    <t>Kochetkov; Andrey|Shen; Ying|Nguyen; Thanh H.</t>
  </si>
  <si>
    <t>Kochetkov; Andrey</t>
  </si>
  <si>
    <t>2012/07/20</t>
  </si>
  <si>
    <t>H04L 12/709</t>
  </si>
  <si>
    <t>H04L45/245</t>
  </si>
  <si>
    <t>14/243,838</t>
  </si>
  <si>
    <t>Methods for selection of link aggregation capable access points</t>
  </si>
  <si>
    <t>Zhou; Yan|Cherian; George|Abraham; Santosh Paul</t>
  </si>
  <si>
    <t>14/007,152</t>
  </si>
  <si>
    <t>Guo; Senbao|Sun; Yunfeng|Gong; Yuhong|Chen; Dongli|Zhang; Junfeng</t>
  </si>
  <si>
    <t>Guo; Senbao</t>
  </si>
  <si>
    <t>14/126,493</t>
  </si>
  <si>
    <t>Mobile terminal and processing method thereof</t>
  </si>
  <si>
    <t>Li; Zhaohui|Ning; Jinxing</t>
  </si>
  <si>
    <t>Li; Zhaohui</t>
  </si>
  <si>
    <t>H04B1/3833</t>
  </si>
  <si>
    <t>13/782,592</t>
  </si>
  <si>
    <t>Method and apparatus for utilizing the smart blanking feature of thermal mitigation</t>
  </si>
  <si>
    <t>Sahu; Debesh Kumar|Gude; Venkata Siva Prasad|Jain; Sachin</t>
  </si>
  <si>
    <t>Sahu; Debesh Kumar</t>
  </si>
  <si>
    <t>H04W 24/04</t>
  </si>
  <si>
    <t>14/123,097</t>
  </si>
  <si>
    <t>Method and user equipment for determining scheduling grant</t>
  </si>
  <si>
    <t>Zhang; Haiyan</t>
  </si>
  <si>
    <t>2011/05/30</t>
  </si>
  <si>
    <t>H04W72/02</t>
  </si>
  <si>
    <t>14/286,772</t>
  </si>
  <si>
    <t>Determining a gain factor for transmit power control in enhanced uplink</t>
  </si>
  <si>
    <t>Tripathi; Ambarish|Rao; Vaishakh|Zhang; Yi|Hsu; Liangchi|Choi; Zae Yong</t>
  </si>
  <si>
    <t>Tripathi; Ambarish</t>
  </si>
  <si>
    <t>2014/05/23</t>
  </si>
  <si>
    <t>14/003,584</t>
  </si>
  <si>
    <t>Method and a system for transmitting pilot</t>
  </si>
  <si>
    <t>Lin; Zhirong|Xia; Shuqiang|Yu; Guanghui|Liang; Chunli|Dai; Bo|Hao; Peng</t>
  </si>
  <si>
    <t>Lin; Zhirong</t>
  </si>
  <si>
    <t>H04W 28/12</t>
  </si>
  <si>
    <t>H04W28/12</t>
  </si>
  <si>
    <t>14/488,049</t>
  </si>
  <si>
    <t>Notifying availability of internet protocol multimedia subsystem services</t>
  </si>
  <si>
    <t>Sahu; Debesh Kumar|Gundu; Naresh|Cherian; George</t>
  </si>
  <si>
    <t>14/008,143</t>
  </si>
  <si>
    <t>METHOD FOR PRE-DISTORTING AND A PRE-DISTORTER</t>
  </si>
  <si>
    <t>Peroulas; James|Zeng; Feng|Ning; Dongfang|Yang; Zeliang|Duan; Yijun|Pan; Weiming|Dai; Zhengjian|You; Aimin</t>
  </si>
  <si>
    <t>Peroulas; James</t>
  </si>
  <si>
    <t>13/649,994</t>
  </si>
  <si>
    <t>Method and apparatus for predicting signal characteristics for a nonlinear power amplifier</t>
  </si>
  <si>
    <t>Geng; Jifeng|Filipovic; Daniel Fred</t>
  </si>
  <si>
    <t>Geng; Jifeng</t>
  </si>
  <si>
    <t>H04L 27/36</t>
  </si>
  <si>
    <t>14/007,122</t>
  </si>
  <si>
    <t>Method and system for updating tunnel information</t>
  </si>
  <si>
    <t>Bi; Yifeng|Liu; Guoyan</t>
  </si>
  <si>
    <t>Bi; Yifeng</t>
  </si>
  <si>
    <t>H04W36/0016</t>
  </si>
  <si>
    <t>14/738,312</t>
  </si>
  <si>
    <t>Positioning beacons with wireless backhaul</t>
  </si>
  <si>
    <t>Edge; Stephen William|Tiedemann, Jr.; Edward George</t>
  </si>
  <si>
    <t>2014/06/13</t>
  </si>
  <si>
    <t>2015/06/12</t>
  </si>
  <si>
    <t>13/993,766</t>
  </si>
  <si>
    <t>Method and Device for Improving Robustness of Context Update Message in Robust Header Compression</t>
  </si>
  <si>
    <t>Shi; Xuehong</t>
  </si>
  <si>
    <t>2010/12/17</t>
  </si>
  <si>
    <t>2011/08/19</t>
  </si>
  <si>
    <t>2013/10/24</t>
  </si>
  <si>
    <t>H04L49/3009</t>
  </si>
  <si>
    <t>14/750,999</t>
  </si>
  <si>
    <t>Adaptive ROHC state transition</t>
  </si>
  <si>
    <t>Chan; Chun Chung Patrick|Cheong; Tsun Sang|Ng; Alvin Siu-Chung|Wu; Tak Wai</t>
  </si>
  <si>
    <t>Chan; Chun Chung Patrick</t>
  </si>
  <si>
    <t>2015/06/25</t>
  </si>
  <si>
    <t>13/988,739</t>
  </si>
  <si>
    <t>Method for reporting measurement capability and UE</t>
  </si>
  <si>
    <t>Chen; Zhongming|Du; Zhongda</t>
  </si>
  <si>
    <t>Chen; Zhongming</t>
  </si>
  <si>
    <t>2011/10/24</t>
  </si>
  <si>
    <t>H04W36/0088</t>
  </si>
  <si>
    <t>14/243,736</t>
  </si>
  <si>
    <t>Method and apparatus for enhanced TD-SCDMA to LTE measurement reporting</t>
  </si>
  <si>
    <t>Gopal; Thawatt|Zhou; Heng|Chen; Qingxin|Fu; Yu|Chin; Tom|Li; Zhengming</t>
  </si>
  <si>
    <t>Gopal; Thawatt</t>
  </si>
  <si>
    <t>13/879,020</t>
  </si>
  <si>
    <t>METHOD AND SYSTEM FOR CHANNEL SCANNING IN WIRELESS NETWORK</t>
  </si>
  <si>
    <t>Lv; Kaiying|Sun; Bo|Li; Nan|Li; Feng|Jiang; Jing</t>
  </si>
  <si>
    <t>Lv; Kaiying</t>
  </si>
  <si>
    <t>2013/08/01</t>
  </si>
  <si>
    <t>14/286,565</t>
  </si>
  <si>
    <t>DSRC listen mode for Wi-Fi using DSRC spectrum</t>
  </si>
  <si>
    <t>Jose; Jubin|Wang; Ying|Shi; Kai|Wu; Xinzhou|Li; Junyi</t>
  </si>
  <si>
    <t>Jose; Jubin</t>
  </si>
  <si>
    <t>H04W4/008</t>
  </si>
  <si>
    <t>13/380,604</t>
  </si>
  <si>
    <t>Method and Apparatus for Detecting Secondary Synchronization Signal</t>
  </si>
  <si>
    <t>Yi; Liqiang</t>
  </si>
  <si>
    <t>2013/07/11</t>
  </si>
  <si>
    <t>H04W56/00</t>
  </si>
  <si>
    <t>14/145,150</t>
  </si>
  <si>
    <t>Techniques for channel estimation in millimeter-wave communication systems</t>
  </si>
  <si>
    <t>Sanderovich; Amichai</t>
  </si>
  <si>
    <t>H04L25/03305</t>
  </si>
  <si>
    <t>13/816,667</t>
  </si>
  <si>
    <t>Method and System for Channel Reservation</t>
  </si>
  <si>
    <t>Li; Nan|Sun; Bo|Lv; Kaiying|Li; Feng|Jiang; Jing</t>
  </si>
  <si>
    <t>Li; Nan</t>
  </si>
  <si>
    <t>H04W28/26</t>
  </si>
  <si>
    <t>14/805,768</t>
  </si>
  <si>
    <t>Methods and systems for protection and bandwidth selection for downlink and uplink frequency division multiple access communications</t>
  </si>
  <si>
    <t>Merlin; Simone|Barriac; Gwendolyn Denise</t>
  </si>
  <si>
    <t>2015/07/22</t>
  </si>
  <si>
    <t>13/520,032</t>
  </si>
  <si>
    <t>Terminal and Grant Processing Method Thereof</t>
  </si>
  <si>
    <t>Cheng; Xiang|Ke; Yazhu|Liu; Lin</t>
  </si>
  <si>
    <t>Cheng; Xiang</t>
  </si>
  <si>
    <t>2013/05/30</t>
  </si>
  <si>
    <t>13/747,720</t>
  </si>
  <si>
    <t>Apparatus and method for resolving a serving grant deadlock at a mobile station configured for enhanced uplink (EUL)</t>
  </si>
  <si>
    <t>Zhang; Yi|Kanamarlapudi; Sitaramanjaneyulu|Hsu; Liangchi|Handa; Omesh Kumar|El-saidny; Mohamed A.|Shah; Chaitanya B.</t>
  </si>
  <si>
    <t>Zhang; Yi</t>
  </si>
  <si>
    <t>2012/06/14</t>
  </si>
  <si>
    <t>2013/01/23</t>
  </si>
  <si>
    <t>13/260,001</t>
  </si>
  <si>
    <t>METHOD AND APPARATUS FOR MODE TRANSITION, COMPRESSION, AND DECOMPRESSION IN ROBUST HEADER COMPRESSION</t>
  </si>
  <si>
    <t>Zhang; Jian|Shi; Xuehong</t>
  </si>
  <si>
    <t>2010/11/25</t>
  </si>
  <si>
    <t>14/199,814</t>
  </si>
  <si>
    <t>Context establishment in marginal grant conditions</t>
  </si>
  <si>
    <t>Ambriss; Mouaffac|Shukair; Mutaz Zuhier Afif|Ehsan; Navid|Ray Chaudhuri; Kausik</t>
  </si>
  <si>
    <t>Ambriss; Mouaffac</t>
  </si>
  <si>
    <t>2014/03/06</t>
  </si>
  <si>
    <t>H04L69/04</t>
  </si>
  <si>
    <t>13/723,127</t>
  </si>
  <si>
    <t>RESOURCE ALLOCATION IN WIRELESS MULTI-HOP RELAY NETWORKS</t>
  </si>
  <si>
    <t>Chion; Hua Mary|Chow; Jerry Pak Lup|Qu; Hongyun</t>
  </si>
  <si>
    <t>Chion; Hua Mary</t>
  </si>
  <si>
    <t>H04W72/04</t>
  </si>
  <si>
    <t>13/429,927</t>
  </si>
  <si>
    <t>Methods and apparatuses for user equipment-based enhancements of radio link control for multi-point wireless transmission</t>
  </si>
  <si>
    <t>Zhang; Danlu|Ge; Weiyan|Kapoor; Rohit|Mohanty; Bibhu Prasad</t>
  </si>
  <si>
    <t>H04L1/1848</t>
  </si>
  <si>
    <t>13/704,941</t>
  </si>
  <si>
    <t>METHOD AND TERMINAL FOR FEEDING BACK CHANNEL STATE INFORMATION</t>
  </si>
  <si>
    <t>Li; Ruyue|Xu; Jun|Chen; Yijian|Cai; Ke</t>
  </si>
  <si>
    <t>Li; Ruyue</t>
  </si>
  <si>
    <t>13/578,767</t>
  </si>
  <si>
    <t>METHODS AND SYSTEMS FOR CSI-RS TRANSMISSION IN LTE-ADVANCE SYSTEMS</t>
  </si>
  <si>
    <t>13/620,415</t>
  </si>
  <si>
    <t>PAGING MECHANISMS FOR MOBILE STATIONS WITH MULTIPLE SUBSCRIPTIONS</t>
  </si>
  <si>
    <t>2013/03/21</t>
  </si>
  <si>
    <t>14/086,687</t>
  </si>
  <si>
    <t>Devices and methods for preventing out-of-service periods in multi-subscription scenarios</t>
  </si>
  <si>
    <t>Walke; Simon James|Goel; Neha|Chakravarthy; Chetan Gopalakrishnan</t>
  </si>
  <si>
    <t>Walke; Simon James</t>
  </si>
  <si>
    <t>H04W8/18</t>
  </si>
  <si>
    <t>13/696,352</t>
  </si>
  <si>
    <t>Implementation Method for Improving Service Call Completion Ratio and Radio Network Controller</t>
  </si>
  <si>
    <t>Ke; Wen|Huang; Meiqing|Shi; Lirong</t>
  </si>
  <si>
    <t>Ke; Wen</t>
  </si>
  <si>
    <t>14/041,485</t>
  </si>
  <si>
    <t>Method and apparatus for improving re-transmission of reconfiguration messages</t>
  </si>
  <si>
    <t>Sheik; Ansah Ahmed|Hsu; Liangchi|Krishnamoorthy; Sathish</t>
  </si>
  <si>
    <t>Sheik; Ansah Ahmed</t>
  </si>
  <si>
    <t>13/695,282</t>
  </si>
  <si>
    <t>Policy application method for machine type communication, and policy and charging enforcement function</t>
  </si>
  <si>
    <t>Qu; Aiyan|Zhi; Chunxia</t>
  </si>
  <si>
    <t>Qu; Aiyan</t>
  </si>
  <si>
    <t>2011/03/09</t>
  </si>
  <si>
    <t>0.66</t>
  </si>
  <si>
    <t>13/695,375</t>
  </si>
  <si>
    <t>Method and mobile terminal for automatically recognizing a rotation gesture</t>
  </si>
  <si>
    <t>Hu; Bo|Zhao; Wei|Zhang; Yujie|Wei; Lanying</t>
  </si>
  <si>
    <t>Hu; Bo</t>
  </si>
  <si>
    <t>14/212,829</t>
  </si>
  <si>
    <t>Intelligent display image orientation based on relative motion detection</t>
  </si>
  <si>
    <t>Sheynblat; Leonid|Karvaje; Asha Gowri|Yuen; Ricky Wai Kit</t>
  </si>
  <si>
    <t>Sheynblat; Leonid</t>
  </si>
  <si>
    <t>G06F3/0346</t>
  </si>
  <si>
    <t>13/642,139</t>
  </si>
  <si>
    <t>Internet of Things Service Architecture and Method for Realizing Internet of Things Service</t>
  </si>
  <si>
    <t>Li; Hui|Xing; Xiaojiang</t>
  </si>
  <si>
    <t>3.66</t>
  </si>
  <si>
    <t>14/636,926</t>
  </si>
  <si>
    <t>Access control lists for private networks of system agnostic connected devices</t>
  </si>
  <si>
    <t>Burns; Gregory|Hershberg; Joshua Dickenson|Nguyen; Phil Tien|Geffen; Fruma Adina</t>
  </si>
  <si>
    <t>Burns; Gregory</t>
  </si>
  <si>
    <t>2014/03/03</t>
  </si>
  <si>
    <t>H04L63/0272</t>
  </si>
  <si>
    <t>13/635,285</t>
  </si>
  <si>
    <t>METHOD FOR PROCESSING AND TESTING OF CALLED TERMINAL AND LONG TERM EVOLUTION SYSTEM</t>
  </si>
  <si>
    <t>Ma; Wei</t>
  </si>
  <si>
    <t>H04W 40/34</t>
  </si>
  <si>
    <t>13/521,243</t>
  </si>
  <si>
    <t>IMPLEMENTING METHOD AND SYSTEM FOR TERMINAL COMMUNICATIONS, AND IMPLEMENTING METHOD FOR TERMINAL LOCATION UPDATE</t>
  </si>
  <si>
    <t>Liang; Xiguang|Feng; Dejuan|Liang; Guohe|Sun; Aifang</t>
  </si>
  <si>
    <t>Liang; Xiguang</t>
  </si>
  <si>
    <t>14/255,207</t>
  </si>
  <si>
    <t>Apparatus and method for enhanced tune-away operation</t>
  </si>
  <si>
    <t>Chakravarthy; Chetan Gopalakrishnan|Kanamarlapudi; Sitaramanjaneyulu</t>
  </si>
  <si>
    <t>Chakravarthy; Chetan Gopalakrishnan</t>
  </si>
  <si>
    <t>H04W 80/04</t>
  </si>
  <si>
    <t>13/581,325</t>
  </si>
  <si>
    <t>METHOD AND SYSTEM FOR TERMINAL HANDOVER IN WIRELESS COMMUNICATION SYSTEM</t>
  </si>
  <si>
    <t>Zhou; Na|Wu; Qiang|Fu; Tao</t>
  </si>
  <si>
    <t>Zhou; Na</t>
  </si>
  <si>
    <t>2010/03/08</t>
  </si>
  <si>
    <t>13/285,215</t>
  </si>
  <si>
    <t>Method and apparatus for scalable network transaction identifier for interconnects</t>
  </si>
  <si>
    <t>Ganasan; Jaya Prakash Subramaniam|Nooney; Prudhvi N.|Umstead; Darren P.|Van Swearingen; Joseph L.|Wolford; Barry Joe|Schaffer; Mark Michael</t>
  </si>
  <si>
    <t>Ganasan; Jaya Prakash Subramaniam</t>
  </si>
  <si>
    <t>2011/10/31</t>
  </si>
  <si>
    <t>H04L45/74</t>
  </si>
  <si>
    <t>13/578,632</t>
  </si>
  <si>
    <t>Wen; Yongming</t>
  </si>
  <si>
    <t>13/577,430</t>
  </si>
  <si>
    <t>Method and system for realizing integrity protection</t>
  </si>
  <si>
    <t>H04W 12/02</t>
  </si>
  <si>
    <t>13/179,323</t>
  </si>
  <si>
    <t>Apparatus and method for facilitating fallback access schemes</t>
  </si>
  <si>
    <t>Duan; Long|Tsai; Shiau-He</t>
  </si>
  <si>
    <t>Duan; Long</t>
  </si>
  <si>
    <t>H04W74/0841</t>
  </si>
  <si>
    <t>13/258,309</t>
  </si>
  <si>
    <t>Acquiring Method, Acquiring Apparatus and user Equipment for Multicast Control Channels (MCCHs) information</t>
  </si>
  <si>
    <t>13/575,900</t>
  </si>
  <si>
    <t>METHOD AND DEVICE FOR CHANNEL ESTIMATION IN ORTHOGONAL FREQUENCY DIVISION MULTIPLEXING SYSTEM</t>
  </si>
  <si>
    <t>You; Yueyi|Xiao; Haiyong</t>
  </si>
  <si>
    <t>You; Yueyi</t>
  </si>
  <si>
    <t>13/195,711</t>
  </si>
  <si>
    <t>Channel estimation for reference signal interference cancelation</t>
  </si>
  <si>
    <t>Yoo; Taesang|Luo; Tao</t>
  </si>
  <si>
    <t>2011/03/01</t>
  </si>
  <si>
    <t>H04L25/0204</t>
  </si>
  <si>
    <t>13/577,789</t>
  </si>
  <si>
    <t>Method and System for MIMO Channel Information Feedback</t>
  </si>
  <si>
    <t>Chen; Yijian|Yin; Wu|Li; Yu Ngok|Xu; Jun|Yang; Xun</t>
  </si>
  <si>
    <t>Chen; Yijian</t>
  </si>
  <si>
    <t>13/514,576</t>
  </si>
  <si>
    <t>METHOD, SYSTEM AND APPARATUS FOR DETERMINING PRIORITY OF COMPONENT CARRIER</t>
  </si>
  <si>
    <t>Gou; Wei|Xia; Shuqiang|Lin; Zhirong|Ma; Zijiang</t>
  </si>
  <si>
    <t>Gou; Wei</t>
  </si>
  <si>
    <t>13/384,905</t>
  </si>
  <si>
    <t>Method, System and Network Side Device for Transmitting Control Information of Multimedia Broadcast Multicast Service</t>
  </si>
  <si>
    <t>Ai; Jianxun|Mao; Lei</t>
  </si>
  <si>
    <t>Ai; Jianxun</t>
  </si>
  <si>
    <t>13/519,174</t>
  </si>
  <si>
    <t>METHOD AND DEVICE FOR ENHANCING SECURITY OF USER SECURITY MODEL</t>
  </si>
  <si>
    <t>Liu; Taiqiang</t>
  </si>
  <si>
    <t>14/220,937</t>
  </si>
  <si>
    <t>Protection against key tampering</t>
  </si>
  <si>
    <t>Keidar; Ron</t>
  </si>
  <si>
    <t>G06F 21/79</t>
  </si>
  <si>
    <t>G06F21/79</t>
  </si>
  <si>
    <t>13/257,968</t>
  </si>
  <si>
    <t>Method for Processing Handover Capability and Base Station</t>
  </si>
  <si>
    <t>Shi; Xiaojuan|Huang; Yada</t>
  </si>
  <si>
    <t>1.23</t>
  </si>
  <si>
    <t>13/517,979</t>
  </si>
  <si>
    <t>Decoding method and apparatus</t>
  </si>
  <si>
    <t>Sun; Hao|Feng; Liguo</t>
  </si>
  <si>
    <t>Sun; Hao</t>
  </si>
  <si>
    <t>14/063,802</t>
  </si>
  <si>
    <t>Apparatus and method for early decoding of TFCI in UMTS</t>
  </si>
  <si>
    <t>Chizgi; Nate|Sripathi; Prashant Udupa|Saladi; Valibabu|Matin; Sharif A.|Zhang; Yi</t>
  </si>
  <si>
    <t>Chizgi; Nate</t>
  </si>
  <si>
    <t>13/518,924</t>
  </si>
  <si>
    <t>ETHERNET TRAFFIC STATISTICS AND ANALYSIS METHOD AND SYSTEM</t>
  </si>
  <si>
    <t>Wu; Shaoyong</t>
  </si>
  <si>
    <t>14/297,324</t>
  </si>
  <si>
    <t>Linking ad hoc networks</t>
  </si>
  <si>
    <t>Tyson; Hugo Mark|Graube; Nicolas Guy Albert|Heydon; Robin</t>
  </si>
  <si>
    <t>Tyson; Hugo Mark</t>
  </si>
  <si>
    <t>2014/06/05</t>
  </si>
  <si>
    <t>G06F21/44</t>
  </si>
  <si>
    <t>GB</t>
  </si>
  <si>
    <t>13/258,885</t>
  </si>
  <si>
    <t>METHOD AND APPARATUS FOR TRANSMITTING AN OVERHEAD MESSAGE</t>
  </si>
  <si>
    <t>Hou; Xiaoxia|Li; Hui</t>
  </si>
  <si>
    <t>Hou; Xiaoxia</t>
  </si>
  <si>
    <t>13/609,802</t>
  </si>
  <si>
    <t>Reuse of an idle paging slot of a frame in a machine-to-machine (M2M) wireless wide area network (WAN)</t>
  </si>
  <si>
    <t>Tian; Bin|Gupta; Alok K.</t>
  </si>
  <si>
    <t>Tian; Bin</t>
  </si>
  <si>
    <t>Y02B60/50</t>
  </si>
  <si>
    <t>13/509,579</t>
  </si>
  <si>
    <t>METHOD FOR CARRIER AGGREGATION AND METHOD FOR DYNAMIC SPECTRUM ALLOCATION</t>
  </si>
  <si>
    <t>Diao; Xinxi|Zhu; Xiaodong|Lai; Zhengrong|Ma; Zhifeng|Yang; Guang</t>
  </si>
  <si>
    <t>2010/06/12</t>
  </si>
  <si>
    <t>13/756,938</t>
  </si>
  <si>
    <t>Managing downlink and uplink resources for low cost user equipments</t>
  </si>
  <si>
    <t>Chen; Wanshi|Xu; Hao|Gaal; Peter</t>
  </si>
  <si>
    <t>13/259,940</t>
  </si>
  <si>
    <t>Method for transmitting Service Data, Receiver, Mobile Terminal, Transmitter and Base Station</t>
  </si>
  <si>
    <t>Gong; Ming</t>
  </si>
  <si>
    <t>0.65</t>
  </si>
  <si>
    <t>13/896,139</t>
  </si>
  <si>
    <t>Narrow band partitioning and efficient resource allocation for low cost user equipments</t>
  </si>
  <si>
    <t>13/508,328</t>
  </si>
  <si>
    <t>METHOD AND SYSTEM FOR ACQUIRING INFORMATION OF MACHINE TYPE COMMUNICATION USER EQUIPMENT</t>
  </si>
  <si>
    <t>Li; Zhijun|Wang; Zhihai|Shi; Xiaofeng|Xie; Baoguo</t>
  </si>
  <si>
    <t>Li; Zhijun</t>
  </si>
  <si>
    <t>2009/11/06</t>
  </si>
  <si>
    <t>H04W  8/12</t>
  </si>
  <si>
    <t>13/505,686</t>
  </si>
  <si>
    <t>Method and Device for Managing Internet Protocol Offload Connection</t>
  </si>
  <si>
    <t>Zhou; Na|Liang; Shuang|Wang; Jing|Zong; Zaifeng|Huo; Yuzhen</t>
  </si>
  <si>
    <t>2010/10/18</t>
  </si>
  <si>
    <t>H04W 36/22</t>
  </si>
  <si>
    <t>13/080,479</t>
  </si>
  <si>
    <t>Method and apparatus for managing local internet protocol offload</t>
  </si>
  <si>
    <t>Horn; Gavin Bernard|Giaretta; Gerardo</t>
  </si>
  <si>
    <t>13/504,337</t>
  </si>
  <si>
    <t>Charging Management Method and Apparatus for Storage Battery</t>
  </si>
  <si>
    <t>Zhou; Baohang|Liu; Mingming|Meng; Yanni|Teng; Lingqiao|Wei; Shuwang</t>
  </si>
  <si>
    <t>Zhou; Baohang</t>
  </si>
  <si>
    <t>13/428,127</t>
  </si>
  <si>
    <t>System and method for battery load management in a portable computing device</t>
  </si>
  <si>
    <t>Rabii; Khosro M.</t>
  </si>
  <si>
    <t>G06F  1/26</t>
  </si>
  <si>
    <t>G06F1/3212</t>
  </si>
  <si>
    <t>13/504,669</t>
  </si>
  <si>
    <t>Method and Apparatus for Configuring Component Carriers in Carrier Aggregation</t>
  </si>
  <si>
    <t>Shi; Xiaojuan|Deng; Yun</t>
  </si>
  <si>
    <t>2010/10/09</t>
  </si>
  <si>
    <t>2012/08/23</t>
  </si>
  <si>
    <t>13/496,616</t>
  </si>
  <si>
    <t>Method and System for Implementing Emergency Location</t>
  </si>
  <si>
    <t>Li; Zhijun|Li; Hui</t>
  </si>
  <si>
    <t>13/786,291</t>
  </si>
  <si>
    <t>Localized secure user plane location (SUPL) emergency session</t>
  </si>
  <si>
    <t>Wachter; Andreas|Lin; Ie-Hong</t>
  </si>
  <si>
    <t>Wachter; Andreas</t>
  </si>
  <si>
    <t>13/258,069</t>
  </si>
  <si>
    <t>Method and System for Multi-Beam Forming Based on Joint Transceiver Information</t>
  </si>
  <si>
    <t>Wang; Yanwen|Liu; Wenhao|Li; Yan</t>
  </si>
  <si>
    <t>Wang; Yanwen</t>
  </si>
  <si>
    <t>2012/06/28</t>
  </si>
  <si>
    <t>14/457,416</t>
  </si>
  <si>
    <t>Methods and apparatus for adapting transmitter configuration for efficient concurrent transmission and radar detection through adaptive self-interference cancellation</t>
  </si>
  <si>
    <t>Sadek; Ahmed Kamel|Grob; Matthew Stuart</t>
  </si>
  <si>
    <t>Sadek; Ahmed Kamel</t>
  </si>
  <si>
    <t>2014/04/11</t>
  </si>
  <si>
    <t>H03D  1/06</t>
  </si>
  <si>
    <t>H04B1/1027</t>
  </si>
  <si>
    <t>13/390,457</t>
  </si>
  <si>
    <t>Service Bearer Method and Apparatus, Service Data Receiving Method and Receiving Terminal</t>
  </si>
  <si>
    <t>Wang; Bin|Yu; Bin|Ma; Zijiang</t>
  </si>
  <si>
    <t>Wang; Bin</t>
  </si>
  <si>
    <t>H04J 99/00</t>
  </si>
  <si>
    <t>0.78</t>
  </si>
  <si>
    <t>13/783,071</t>
  </si>
  <si>
    <t>Extending cyclic prefix length in wireless communication network having mixed carrier</t>
  </si>
  <si>
    <t>Zhang; Xiaoxia|Walker; Gordon Kent|Malladi; Durga Prasad|Wang; Jun|Bao; Gang</t>
  </si>
  <si>
    <t>13/258,035</t>
  </si>
  <si>
    <t>Method and System for Allocating Resources to Multimedia Broadcast Multicast Control Channel</t>
  </si>
  <si>
    <t>Zhai; Hengxing|Ai; Jianxun</t>
  </si>
  <si>
    <t>Zhai; Hengxing</t>
  </si>
  <si>
    <t>13/302,129</t>
  </si>
  <si>
    <t>Method and apparatus for enhancing control channel transmission</t>
  </si>
  <si>
    <t>Balasubramanian; Srinivasan|Klingenbrunn; Thomas|Liu; Zhengwei|Shauh; Jack S.|Wang; Jun|Zhang; Xiaoxia|Lee; Kuo-Chun</t>
  </si>
  <si>
    <t>13/258,331</t>
  </si>
  <si>
    <t>Method and system for a home NodeB of hybrid access mode to obtain the access mode of a user equipment</t>
  </si>
  <si>
    <t>Wang; Shengming|Xi; Jin</t>
  </si>
  <si>
    <t>2010/03/05</t>
  </si>
  <si>
    <t>US2013/049384</t>
  </si>
  <si>
    <t>Methods and apparatus for advertising restricted access in wireless networks</t>
  </si>
  <si>
    <t>SINGH,Damanjit|CHEN,Jen Mei|YAVUZ,Mehmet</t>
  </si>
  <si>
    <t>SINGH,Damanjit</t>
  </si>
  <si>
    <t>2013/07/03</t>
  </si>
  <si>
    <t>13/258,337</t>
  </si>
  <si>
    <t>Method, Apparatus and System for Implementing X2 Handover</t>
  </si>
  <si>
    <t>Wang; Dafei|Su; Hongtao|Liu; Lin|Si; Wei</t>
  </si>
  <si>
    <t>Wang; Dafei</t>
  </si>
  <si>
    <t>13/891,713</t>
  </si>
  <si>
    <t>Systems and methods for WLAN roaming</t>
  </si>
  <si>
    <t>Cohen-Arazi; Yacob|Cherian; George|Krasnyanskiy; Maksim|Abraham; Santosh Paul</t>
  </si>
  <si>
    <t>Cohen-Arazi; Yacob</t>
  </si>
  <si>
    <t>13/259,493</t>
  </si>
  <si>
    <t>Base Station, Terminal, System And Method For Transmitting Sounding Reference Signal By Using Multiple Antennas</t>
  </si>
  <si>
    <t>Hao; Peng|Zhang; Rong</t>
  </si>
  <si>
    <t>Hao; Peng</t>
  </si>
  <si>
    <t>0.95</t>
  </si>
  <si>
    <t>13/756,070</t>
  </si>
  <si>
    <t>Enhanced sounding reference signal (SRS) operation</t>
  </si>
  <si>
    <t>Chen; Wanshi|Gaal; Peter|Xu; Hao|Geirhofer; Stefan</t>
  </si>
  <si>
    <t>13/260,122</t>
  </si>
  <si>
    <t>SYNCHRONIZATION METHOD AND SYSTEM OF CONTROL SEQUENCE NUMBERS</t>
  </si>
  <si>
    <t>AI; Jianxun|Yao; Cuifeng</t>
  </si>
  <si>
    <t>AI; Jianxun</t>
  </si>
  <si>
    <t>13/090,943</t>
  </si>
  <si>
    <t>Counter check procedure for packet data transmission</t>
  </si>
  <si>
    <t>H04L63/068</t>
  </si>
  <si>
    <t>13/257,900</t>
  </si>
  <si>
    <t>Policy And Charging Control Method And System For Multi-PDN Connections Of Single APN</t>
  </si>
  <si>
    <t>Zhou; Xiaoyun|Zong; Zaifeng|Rui; Tong</t>
  </si>
  <si>
    <t>Zhou; Xiaoyun</t>
  </si>
  <si>
    <t>12/893,190</t>
  </si>
  <si>
    <t>Managing a data network connection for mobile communications based on user location</t>
  </si>
  <si>
    <t>Horn; Gavin Bernard|Giaretta; Gerardo|Griot; Miguel|Song; Osok</t>
  </si>
  <si>
    <t>2009/12/04</t>
  </si>
  <si>
    <t>H04W48/17</t>
  </si>
  <si>
    <t>13/378,826</t>
  </si>
  <si>
    <t>RESOURCE ALLOCATION METHOD FOR DYNAMIC MULTIPLEXING OF MULTIMEDIA BROADCAST MULTICAST SERVICE</t>
  </si>
  <si>
    <t>AI; Jianxun|Ma; Zijiang|Mao; Lei</t>
  </si>
  <si>
    <t>13/289,594</t>
  </si>
  <si>
    <t>Method and apparatus for mitigating control channel error</t>
  </si>
  <si>
    <t>Liu; Zhengwei|Meylan; Arnaud|Wang; Jun|Zhang; Xiaoxia|Lee; Kuo-Chun</t>
  </si>
  <si>
    <t>Liu; Zhengwei</t>
  </si>
  <si>
    <t>13/258,975</t>
  </si>
  <si>
    <t>Method, Terminal and Network System for Reporting Buffer Status Report</t>
  </si>
  <si>
    <t>Dai; Qian|Zhang; Yincheng|Wang; Tao|Wang; Guanzhou</t>
  </si>
  <si>
    <t>2.94</t>
  </si>
  <si>
    <t>13/379,015</t>
  </si>
  <si>
    <t>Method, Donor eNB And Radio Relay System For Realizing Service Flows Transmission Of Mobile Terminal</t>
  </si>
  <si>
    <t>Huang; Yada|Li; Dapeng</t>
  </si>
  <si>
    <t>2009/06/22</t>
  </si>
  <si>
    <t>H04W 88/04</t>
  </si>
  <si>
    <t>13/438,611</t>
  </si>
  <si>
    <t>Method and apparatus for scheduling network traffic in the presence of relays</t>
  </si>
  <si>
    <t>Huang; Xiaolong|Prakash; Rajat</t>
  </si>
  <si>
    <t>2011/04/04</t>
  </si>
  <si>
    <t>2012/04/03</t>
  </si>
  <si>
    <t>H04J  3/08</t>
  </si>
  <si>
    <t>13/257,869</t>
  </si>
  <si>
    <t>Method and Device for Handing Off Between Base Stations</t>
  </si>
  <si>
    <t>Huang; Boqiu|Liu; Yu|Zou; Yankun|Wan; Qiang|Wang; Wei</t>
  </si>
  <si>
    <t>Huang; Boqiu</t>
  </si>
  <si>
    <t>US2013/034457</t>
  </si>
  <si>
    <t>Dynamically configurig cell search window for pilot acquisition</t>
  </si>
  <si>
    <t>BATCHU,Bhaskara V.|RAJURKAR,Anand|BOHRA,Aditya|BHOGARAJU,Karthik P.K.</t>
  </si>
  <si>
    <t>BATCHU,Bhaskara V.</t>
  </si>
  <si>
    <t>2013/03/28</t>
  </si>
  <si>
    <t>H04B  1/7075</t>
  </si>
  <si>
    <t>13/203,462</t>
  </si>
  <si>
    <t>Method and System for Transmitting Relay Link Control Channel</t>
  </si>
  <si>
    <t>Bi; Feng|Yuan; Ming|Liang; Feng|Yang; Jin|Wu; Shuanshuan|Jiang; Jing</t>
  </si>
  <si>
    <t>Bi; Feng</t>
  </si>
  <si>
    <t>2010/03/12</t>
  </si>
  <si>
    <t>12/787,605</t>
  </si>
  <si>
    <t>Method and apparatus that facilitates operating a relay via a multimedia broadcast single frequency network based backhaul link</t>
  </si>
  <si>
    <t>Chen; Wanshi|Lin; Dexu|Ji; Tingfang</t>
  </si>
  <si>
    <t>13/162,552</t>
  </si>
  <si>
    <t>INTERWORKING CIRCUIT SERVICE FALL BACK</t>
  </si>
  <si>
    <t>Fang; Yonggang|Bhalla; Rajesh|Zhao; Xiaowu|Lu; Ting|Yu; YuanFang</t>
  </si>
  <si>
    <t>H04W  4/12</t>
  </si>
  <si>
    <t>11.10</t>
  </si>
  <si>
    <t>14/663,255</t>
  </si>
  <si>
    <t>Efficient way of performing emergency calls in multi-subscriber identity module solutions</t>
  </si>
  <si>
    <t>Kompala; Surendra|Kanthala; Venkata Raji Reddy</t>
  </si>
  <si>
    <t>Kompala; Surendra</t>
  </si>
  <si>
    <t>2015/03/19</t>
  </si>
  <si>
    <t>H04W4/22</t>
  </si>
  <si>
    <t>13/256,636</t>
  </si>
  <si>
    <t>Configuration method and configuration device for the backhaul link in a long term evolution system</t>
  </si>
  <si>
    <t>Wang; Bin|Bi; Feng|Liang; Feng|Ma; Zijiang</t>
  </si>
  <si>
    <t>2009/03/23</t>
  </si>
  <si>
    <t>13/257,702</t>
  </si>
  <si>
    <t>Method and device for bearing and receiving scheduling information of multimedia broadcast multicast service (MBMS) control channel (MCCH) update indication information</t>
  </si>
  <si>
    <t>Gou; Wei|Ma; Zijiang</t>
  </si>
  <si>
    <t>13/202,231</t>
  </si>
  <si>
    <t>System and method for downloading application</t>
  </si>
  <si>
    <t>Jia; Qian|Ma; Jingwang</t>
  </si>
  <si>
    <t>Jia; Qian</t>
  </si>
  <si>
    <t>13/787,522</t>
  </si>
  <si>
    <t>Management of network devices utilizing an authorization token</t>
  </si>
  <si>
    <t>Zhang; Jiang</t>
  </si>
  <si>
    <t>13/146,770</t>
  </si>
  <si>
    <t>METHOD FOR SENDING AND RECEIVING CLOCK, APPARATUS FOR TRANSMITTING CLOCK</t>
  </si>
  <si>
    <t>Fu; Xiaoming</t>
  </si>
  <si>
    <t>US2014/045806</t>
  </si>
  <si>
    <t>GENERATION OF TIMING PULSES BASED ON ACQUIRED SYNCHRONIZATION</t>
  </si>
  <si>
    <t>SRIKANTIAH,Umesh|HANDE,Prashanth Haridas|PARHAR,Bhupinder Singh|BACHU,Raja Sekhar</t>
  </si>
  <si>
    <t>SRIKANTIAH,Umesh</t>
  </si>
  <si>
    <t>2013/07/08</t>
  </si>
  <si>
    <t>13/145,114</t>
  </si>
  <si>
    <t>Method and System for Controlling Pilot Power of Home NodeB</t>
  </si>
  <si>
    <t>Ding; Tiantian|Yu; Zhong|Wei; Wei</t>
  </si>
  <si>
    <t>Ding; Tiantian</t>
  </si>
  <si>
    <t>2009/12/10</t>
  </si>
  <si>
    <t>13/086,564</t>
  </si>
  <si>
    <t>Methods and apparatus for adjusting forward link signal to interference and noise ratio estimates</t>
  </si>
  <si>
    <t>Soriaga; Joseph B.|Fan; Mingxi|Smee; John Edward|Chen; Jinghu|Hou; Jilei</t>
  </si>
  <si>
    <t>Soriaga; Joseph B.</t>
  </si>
  <si>
    <t>H04L1/0034</t>
  </si>
  <si>
    <t>13/139,706</t>
  </si>
  <si>
    <t>Method and device for notifying handover failure indication information</t>
  </si>
  <si>
    <t>2011/10/13</t>
  </si>
  <si>
    <t>1.63</t>
  </si>
  <si>
    <t>13/535,035</t>
  </si>
  <si>
    <t>Pre-agreed radio link failure recovery channel sequence</t>
  </si>
  <si>
    <t>12/674,336</t>
  </si>
  <si>
    <t>SIGNAL TRANSMISSION METHOD AND FRAME STRUCTURE ADOPTED IN A TDD SYSTEM</t>
  </si>
  <si>
    <t>Dai; Bo|Xia; Shuqiang|Hao; Peng|Liang; Chunli|Yu; Guanghui|Hu; Liujun|Yu; Bin</t>
  </si>
  <si>
    <t>2007/10/28</t>
  </si>
  <si>
    <t>2011/08/04</t>
  </si>
  <si>
    <t>0.86</t>
  </si>
  <si>
    <t>US2014/056665</t>
  </si>
  <si>
    <t>TIME DIVISION LONG TERM EVOLUTION (TD-LTE)FRAME STRUCTURE</t>
  </si>
  <si>
    <t>LIU,Ruoheng|NAMGOONG,June|RAJAGOPALAN,Venkatraman|JAYARAMAN,Srikant</t>
  </si>
  <si>
    <t>LIU,Ruoheng</t>
  </si>
  <si>
    <t>13/061,778</t>
  </si>
  <si>
    <t>Method and System for Intra Base Station Carrier Handover</t>
  </si>
  <si>
    <t>Zhang; Ruixia|Wang; Wenhuan|Liu; Min|Lv; Kaiying|Li; Nan|Fang; Huiying</t>
  </si>
  <si>
    <t>2008/12/22</t>
  </si>
  <si>
    <t>2011/07/14</t>
  </si>
  <si>
    <t>13/062,080</t>
  </si>
  <si>
    <t>CELL RESELECTION METHOD AND TERMINAL</t>
  </si>
  <si>
    <t>2009/04/14</t>
  </si>
  <si>
    <t>13/056,275</t>
  </si>
  <si>
    <t>SEMI-PERSISTENT SCHEDULING METHOD</t>
  </si>
  <si>
    <t>Huang; Yada|Zhang; Yincheng</t>
  </si>
  <si>
    <t>2.35</t>
  </si>
  <si>
    <t>13/546,772</t>
  </si>
  <si>
    <t>Downlink control with control-less subframes</t>
  </si>
  <si>
    <t>Chen; Wanshi|Montojo; Juan|Damnjanovic; Aleksandar|Wei; Yongbin</t>
  </si>
  <si>
    <t>2011/07/12</t>
  </si>
  <si>
    <t>H04L5/0094</t>
  </si>
  <si>
    <t>12/986,097</t>
  </si>
  <si>
    <t>CAI; Sean|Chow; Jerry|Qu; Hongyun|Fang; Huiying</t>
  </si>
  <si>
    <t>CAI; Sean</t>
  </si>
  <si>
    <t>12/637,777</t>
  </si>
  <si>
    <t>GPS synchronization method for mobile wireless networks</t>
  </si>
  <si>
    <t>Touboul; Assaf|Barak; Oz</t>
  </si>
  <si>
    <t>Touboul; Assaf</t>
  </si>
  <si>
    <t>H04B  7/19</t>
  </si>
  <si>
    <t>H04J3/0644</t>
  </si>
  <si>
    <t>12/999,747</t>
  </si>
  <si>
    <t>Method and System for Realizing Network Switching, and a Mobile Node</t>
  </si>
  <si>
    <t>Zhu; Chunhui|Zong; Zaifeng|Zhou; Xiaoyun|Zhu; Jinguo</t>
  </si>
  <si>
    <t>Zhu; Chunhui</t>
  </si>
  <si>
    <t>H04W 92/02</t>
  </si>
  <si>
    <t>1.37</t>
  </si>
  <si>
    <t>12/684,636</t>
  </si>
  <si>
    <t>Context fetching after inter-system handover</t>
  </si>
  <si>
    <t>Song; Osok|Escott; Adrian E.|Agashe; Parag A.|Subramanian; Ramachandran|Ulupinar; Fatih</t>
  </si>
  <si>
    <t>H04W36/0038</t>
  </si>
  <si>
    <t>12/912,041</t>
  </si>
  <si>
    <t>Method for Mapping Physical Random Access Channels</t>
  </si>
  <si>
    <t>Hao; Peng|Yu; Bin|Xia; Shuqiang|Liang; Chunli|Dai; Bo</t>
  </si>
  <si>
    <t>2008/04/26</t>
  </si>
  <si>
    <t>2011/04/21</t>
  </si>
  <si>
    <t>1.3</t>
  </si>
  <si>
    <t>12/816,305</t>
  </si>
  <si>
    <t>Systems, apparatus and methods for physical random access channel processing</t>
  </si>
  <si>
    <t>Zhang; Xiaoxia|Malladi; Durga Prasad|Wei; Yongbin|Xu; Hao|Luo; Tao</t>
  </si>
  <si>
    <t>H04W74/008</t>
  </si>
  <si>
    <t>12/674,830</t>
  </si>
  <si>
    <t>Method for triggering a status report of automatic repeat request</t>
  </si>
  <si>
    <t>2007/09/25</t>
  </si>
  <si>
    <t>2008/05/30</t>
  </si>
  <si>
    <t>12/988,633</t>
  </si>
  <si>
    <t>Synchronization method of common control message among network elements</t>
  </si>
  <si>
    <t>Ai; Jianxun|Yao; Cuifeng</t>
  </si>
  <si>
    <t>12/918,059</t>
  </si>
  <si>
    <t>METHOD AND DEVICE FOR CONFIGURING INTER-CELL TIME DIVISION DUPLEX MODES  BASED ON A TDD SYSTEM</t>
  </si>
  <si>
    <t>Xin; Yu</t>
  </si>
  <si>
    <t>2008/02/18</t>
  </si>
  <si>
    <t>2011/02/10</t>
  </si>
  <si>
    <t>13/672,458</t>
  </si>
  <si>
    <t>Supporting different LTE-TDD configurations in neighboring regions and/or adjacent carriers</t>
  </si>
  <si>
    <t>Bhattad; Kapil|Gore; Dhananjay Ashok|Kadous; Tamer Adel|Mantravadi; Ashok|Sadek; Ahmed|Kumar; Raj</t>
  </si>
  <si>
    <t>12/865,952</t>
  </si>
  <si>
    <t>METHOD AND SYSTEM OF CIRCUIT SWITCHED DOMAIN PAGE REALIZATION, METHOD OF SERVICE REALIZATION</t>
  </si>
  <si>
    <t>Hu; Ying|Yu; Zhiming|Zhu; Jinguo|Yu; Lei|Geng; Liping</t>
  </si>
  <si>
    <t>Hu; Ying</t>
  </si>
  <si>
    <t>12/732,806</t>
  </si>
  <si>
    <t>Fall back using mobile device assisted terminating access domain selection</t>
  </si>
  <si>
    <t>Atarius; Roozbeh|Mahendran; Arungundram C.|Jin; Haipeng|Subramanian; Ramachandran</t>
  </si>
  <si>
    <t>2009/04/01</t>
  </si>
  <si>
    <t>2010/03/26</t>
  </si>
  <si>
    <t>H04L65/1016</t>
  </si>
  <si>
    <t>12/920,456</t>
  </si>
  <si>
    <t>METHOD AND BASE STATION FOR ALLOCATING DEDICATED RANDOM ACCESS RESOURCE</t>
  </si>
  <si>
    <t>Yu; Bin|Hao; Peng|Du; Zhongda|Lu; Kexue</t>
  </si>
  <si>
    <t>Yu; Bin</t>
  </si>
  <si>
    <t>2008/09/22</t>
  </si>
  <si>
    <t>4.74</t>
  </si>
  <si>
    <t>14/068,578</t>
  </si>
  <si>
    <t>Techniques for decoupling downlink and uplink operations</t>
  </si>
  <si>
    <t>Xu; Hao|Ji; Tingfang|Gaal; Peter|Chen; Wanshi|Wei; Yongbin|Somasundaram; Kiran Kumar|Griot; Miguel</t>
  </si>
  <si>
    <t>2013/10/31</t>
  </si>
  <si>
    <t>12/920,860</t>
  </si>
  <si>
    <t>METHOD FOR USER EQUIPMENT REALIZING HANDOVER ACROSS ACCESS NETWORKS IN ACTIVE STATE</t>
  </si>
  <si>
    <t>Yu; Zhiming|You; Shilin|Geng; Liping</t>
  </si>
  <si>
    <t>Yu; Zhiming</t>
  </si>
  <si>
    <t>2008/04/04</t>
  </si>
  <si>
    <t>2008/12/26</t>
  </si>
  <si>
    <t>13/801,602</t>
  </si>
  <si>
    <t>Apparatus and method for improving device handover during a call</t>
  </si>
  <si>
    <t>Ramachandran; Shyamal|Klingenbrunn; Thomas|Ehsan; Navid|Aminzadeh Gohari; Amir|Wang; Min|Balasubramanian; Srinivasan</t>
  </si>
  <si>
    <t>H04W36/0011</t>
  </si>
  <si>
    <t>12/745,111</t>
  </si>
  <si>
    <t>ADAPTIVE CODEBOOK PROCESSING METHOD</t>
  </si>
  <si>
    <t>Sun; Yunfeng|Duan; Yajun|Li; Feng</t>
  </si>
  <si>
    <t>Sun; Yunfeng</t>
  </si>
  <si>
    <t>2007/12/28</t>
  </si>
  <si>
    <t>H04B7/0478</t>
  </si>
  <si>
    <t>13/534,180</t>
  </si>
  <si>
    <t>Method and apparatus for application of precoder information at the UE in closed loop transmit diversity</t>
  </si>
  <si>
    <t>Bharadwaj; Arjun|Sambhwani; Sharad Deepak|Mohan; Siddharth</t>
  </si>
  <si>
    <t>H04B7/0404</t>
  </si>
  <si>
    <t>12/745,205</t>
  </si>
  <si>
    <t>BROADCAST MESSAGE TRANSMISSION METHOD OF RELAY STATION IN MULTI-HOP RELAY NETWORK</t>
  </si>
  <si>
    <t>Chen; Yuqin|Qu; Hongyun</t>
  </si>
  <si>
    <t>Chen; Yuqin</t>
  </si>
  <si>
    <t>12/211,897</t>
  </si>
  <si>
    <t>Methods and systems for parallel acquisition of system information from multiple base stations</t>
  </si>
  <si>
    <t>12/602,688</t>
  </si>
  <si>
    <t>METHOD FOR REALIZING MBMS TDM AND THE INFORMATION TRANSMISSION METHOD THEREOF</t>
  </si>
  <si>
    <t>2007/06/08</t>
  </si>
  <si>
    <t>14/146,608</t>
  </si>
  <si>
    <t>Selectively adjusting a rate or delivery format of media being delivered to one or more multicast/broadcast single frequency networks for transmission</t>
  </si>
  <si>
    <t>Anchan; Kirankumar|Santhanam; Arvind Vardarajan|Lin; Yih-Hao</t>
  </si>
  <si>
    <t>2013/01/04</t>
  </si>
  <si>
    <t>2014/01/02</t>
  </si>
  <si>
    <t>12/522,370</t>
  </si>
  <si>
    <t>METHOD FOR REFUSAL OF 1X PAGE DELIVERY IN A HIGH RATE PACKET DATA SYSTEM</t>
  </si>
  <si>
    <t>2007/12/21</t>
  </si>
  <si>
    <t>13/153,256</t>
  </si>
  <si>
    <t>Method and apparatus for enabling common channel communications of SMS</t>
  </si>
  <si>
    <t>Zhang; Wentao|Li; Yan|Wang; Jun|Shirota; Masakazu|Balasubramanian; Srinivasan</t>
  </si>
  <si>
    <t>Zhang; Wentao</t>
  </si>
  <si>
    <t>H04W76/026</t>
  </si>
  <si>
    <t>12/442,842</t>
  </si>
  <si>
    <t>Handoff Access Method and Device Based on Random Access Channel</t>
  </si>
  <si>
    <t>2010/01/14</t>
  </si>
  <si>
    <t>H04W 36/38</t>
  </si>
  <si>
    <t>12/063872</t>
  </si>
  <si>
    <t>METHOD FOR IMPLEMENTING HSDPA FOR TD-SCDMA</t>
  </si>
  <si>
    <t>Zhang; Yincheng|Ma; Zijiang|Yang; Xuejun|Ma; Zhifeng</t>
  </si>
  <si>
    <t>13/269,721</t>
  </si>
  <si>
    <t>Communicating between user equipment (UE) and independent serving sectors in a wireless communications system</t>
  </si>
  <si>
    <t>Zhang; Danlu|Sambhwani; Sharad Deepak|Hou; Jilei|Vitthaladevuni; Pavan Kumar</t>
  </si>
  <si>
    <t>12/168859</t>
  </si>
  <si>
    <t>Resource Allocation in Wireless Multi-Hop Relay Networks</t>
  </si>
  <si>
    <t>Chion; Hua Mary|Chow; Jerry Pak Lup|Qu; HongYun</t>
  </si>
  <si>
    <t>11.22</t>
  </si>
  <si>
    <t>12/351,794</t>
  </si>
  <si>
    <t>Special management connection between base station and relay stations in multihop relay systems for controlling sleep-mode</t>
  </si>
  <si>
    <t>Dayal; Pranav|Ji; Tingfang</t>
  </si>
  <si>
    <t>Dayal; Pranav</t>
  </si>
  <si>
    <t>H04W52/46</t>
  </si>
  <si>
    <t>12/091292</t>
  </si>
  <si>
    <t>Realization Method for Harq in Multiple Frequency Points Cell</t>
  </si>
  <si>
    <t>Ma; Zijiang|Ma; Zhifeng|Zhang; Yincheng|Li; Dapeng</t>
  </si>
  <si>
    <t>2008/12/04</t>
  </si>
  <si>
    <t>1.40</t>
  </si>
  <si>
    <t>12/957,629</t>
  </si>
  <si>
    <t>Method and apparatus for adaptive MAC layer fragmentation and HARQ channel identifier assignment</t>
  </si>
  <si>
    <t>Nagaraja; Nagendra</t>
  </si>
  <si>
    <t>12/118610</t>
  </si>
  <si>
    <t>Enhanced Timer Based Registration Method for Wireless Communication Networks</t>
  </si>
  <si>
    <t>Yu; YuanFang|Zhao; Xiaowu|Bhalla; Rajesh|Fang; Yonggang</t>
  </si>
  <si>
    <t>Yu; YuanFang</t>
  </si>
  <si>
    <t>2007/05/10</t>
  </si>
  <si>
    <t>H04W60/04</t>
  </si>
  <si>
    <t>2.28</t>
  </si>
  <si>
    <t>12/041647</t>
  </si>
  <si>
    <t>WiMAX Multicast Broadcast Network System Architecture</t>
  </si>
  <si>
    <t>So; Tricci|Song; Jianquan|Chu; Li|Gu; Zhongyu</t>
  </si>
  <si>
    <t>2008/10/16</t>
  </si>
  <si>
    <t>H04L65/4076</t>
  </si>
  <si>
    <t>11.25</t>
  </si>
  <si>
    <t>12/256,882</t>
  </si>
  <si>
    <t>Methods and apparatus for facilitating dynamic service-based system selection and determination</t>
  </si>
  <si>
    <t>Shi; Guangming Carl|Lee; Kuo-Chun|Cheng; Steven|Siu; Isaac Ta-yan</t>
  </si>
  <si>
    <t>Shi; Guangming Carl</t>
  </si>
  <si>
    <t>12/045695</t>
  </si>
  <si>
    <t>2008/09/11</t>
  </si>
  <si>
    <t>29.94</t>
  </si>
  <si>
    <t>12/854,767</t>
  </si>
  <si>
    <t>Systems and methods of mobile relay mobility in asynchronous networks</t>
  </si>
  <si>
    <t>Ji; Tingfang|Lin; Dexu|Chen; Wanshi|Prakash; Rajat|Khandekar; Aamod Dinkar</t>
  </si>
  <si>
    <t>11/835414</t>
  </si>
  <si>
    <t>Interworking Mechanism Between Wireless Wide Area Network and Wireless Local Area Network</t>
  </si>
  <si>
    <t>2008/05/01</t>
  </si>
  <si>
    <t>7.57</t>
  </si>
  <si>
    <t>11/513902</t>
  </si>
  <si>
    <t>Preamble for identifying mobile stations in a wireless communication network</t>
  </si>
  <si>
    <t>Yang; Yunsong</t>
  </si>
  <si>
    <t>2006/08/30</t>
  </si>
  <si>
    <t>2007/11/01</t>
  </si>
  <si>
    <t>11/847,296</t>
  </si>
  <si>
    <t>Method and apparatus for ACKCH with repetition in orthogonal systems</t>
  </si>
  <si>
    <t>Malladi; Durga Prasad|Willenegger; Serge</t>
  </si>
  <si>
    <t>11/569956</t>
  </si>
  <si>
    <t>System of Group Communication and a Method of Group Call Processing Based on Cdma 2000 High-Speed Packet Data Network</t>
  </si>
  <si>
    <t>Li; Liangbin</t>
  </si>
  <si>
    <t>2004/06/02</t>
  </si>
  <si>
    <t>12/233,085</t>
  </si>
  <si>
    <t>Uni-directional traffic channel assignment for a receive-only group call in a mobile communication system</t>
  </si>
  <si>
    <t>Razdan; Ashu|Gill; Harleen|Ananthanarayanan; Arul|Rosen; Eric C.</t>
  </si>
  <si>
    <t>Razdan; Ashu</t>
  </si>
  <si>
    <t>2012/01/24</t>
  </si>
  <si>
    <t>13/979,007</t>
  </si>
  <si>
    <t>Method and system for reporting interference information, and UE</t>
  </si>
  <si>
    <t>Yao; Jun|Shi; Xiaojuan</t>
  </si>
  <si>
    <t>Yao; Jun</t>
  </si>
  <si>
    <t>2011/01/10</t>
  </si>
  <si>
    <t>2011/12/07</t>
  </si>
  <si>
    <t>14/494,998</t>
  </si>
  <si>
    <t>Adjusting application parameters for interference mitigation</t>
  </si>
  <si>
    <t>Wietfeldt; Richard Dominic|Chrisikos; George|Wiley; George Alan</t>
  </si>
  <si>
    <t>Wietfeldt; Richard Dominic</t>
  </si>
  <si>
    <t>2014/09/24</t>
  </si>
  <si>
    <t>H04B15/02</t>
  </si>
  <si>
    <t>13/809,735</t>
  </si>
  <si>
    <t>Method and device for inter-system handover for packet switch service in dual-mode radio network controller</t>
  </si>
  <si>
    <t>Sha; Xiubin|Dou; Jianwu|Ke; Yazhu|Chen; Lin|Dong; Xiaohu</t>
  </si>
  <si>
    <t>Sha; Xiubin</t>
  </si>
  <si>
    <t>13/762,107</t>
  </si>
  <si>
    <t>Mitigating cross-device interference</t>
  </si>
  <si>
    <t>Sadek; Ahmed K.|Kadous; Tamer Adel</t>
  </si>
  <si>
    <t>Sadek; Ahmed K.</t>
  </si>
  <si>
    <t>2012/02/24</t>
  </si>
  <si>
    <t>13/258,184</t>
  </si>
  <si>
    <t>Method for reselecting bearer binding and event report function</t>
  </si>
  <si>
    <t>Zhou; Xiaoyun|Zong; Zaifeng</t>
  </si>
  <si>
    <t>2009/07/27</t>
  </si>
  <si>
    <t>2009/12/03</t>
  </si>
  <si>
    <t>H04W76/022</t>
  </si>
  <si>
    <t>13/946,835</t>
  </si>
  <si>
    <t>Systems and methods supporting WLAN-WWAN mobility in devices</t>
  </si>
  <si>
    <t>Zhao; Suli|Payyappilly; Ajith Tom|Dyck; Jeffrey Alan|Babbar; Uppinder Singh|Giaretta; Gerardo</t>
  </si>
  <si>
    <t>2013/07/19</t>
  </si>
  <si>
    <t>13/641,961</t>
  </si>
  <si>
    <t>Downlink feedback method for time division dual system and relay link thereof</t>
  </si>
  <si>
    <t>Yuan; Ming|Bi; Feng|Yang; Jin|Liang; Feng|Wu; Shuanshuan</t>
  </si>
  <si>
    <t>13/201,631</t>
  </si>
  <si>
    <t>System and method for supporting VOIP and CS telephone</t>
  </si>
  <si>
    <t>Wang; Qiang</t>
  </si>
  <si>
    <t>2009/12/21</t>
  </si>
  <si>
    <t>H04M7/0057</t>
  </si>
  <si>
    <t>14/314,847</t>
  </si>
  <si>
    <t>User experience of a voice call associated with a device</t>
  </si>
  <si>
    <t>Swaminathan; Arvind|Balasubramanian; Srinivasan|Dokku; Vamsi Krishna|Agrawal; Radhika</t>
  </si>
  <si>
    <t>2014/06/25</t>
  </si>
  <si>
    <t>12/731,123</t>
  </si>
  <si>
    <t>Interworking overhead message protocols</t>
  </si>
  <si>
    <t>Fang; Yonggang|Zhao; Xiaowu|Yu; Yuanfang|Lu; Ting</t>
  </si>
  <si>
    <t>11/866,254</t>
  </si>
  <si>
    <t>Method and apparatus for performing inter-frequency handoff in a wireless communication network</t>
  </si>
  <si>
    <t>Wang; Jun|Aldinger; Marie-Pierre Michele Daniele|Reza; Ashrafur|Rahman; Mahmudur</t>
  </si>
  <si>
    <t>2007/10/02</t>
  </si>
  <si>
    <t>13/582,879</t>
  </si>
  <si>
    <t>Method and device for sending inter-frequency measurement configurations downwards</t>
  </si>
  <si>
    <t>Wang; Xingang|You; Jiaying|Jing; Xiaoxi</t>
  </si>
  <si>
    <t>Wang; Xingang</t>
  </si>
  <si>
    <t>2010/12/31</t>
  </si>
  <si>
    <t>14/166,628</t>
  </si>
  <si>
    <t>Apparatus and methods for continuous inter-frequency measurement reconfigurations of DC-HSUPA UE</t>
  </si>
  <si>
    <t>Shi; Yongsheng|Gautam; Aditya|Dhar; Nilotpal|Hsu; Liangchi|Kumar; Arvindhan|Chakravarthy; Chetan Gopalakrishnan|D'Souza; Luna Sapna</t>
  </si>
  <si>
    <t>Shi; Yongsheng</t>
  </si>
  <si>
    <t>12/918,592</t>
  </si>
  <si>
    <t>Method and device for transmitting a multimedia broadcast multicast service</t>
  </si>
  <si>
    <t>12/253,878</t>
  </si>
  <si>
    <t>OFDM/OFDMA frame structure for communication systems</t>
  </si>
  <si>
    <t>2013/02/05</t>
  </si>
  <si>
    <t>4.58</t>
  </si>
  <si>
    <t>14/510,910</t>
  </si>
  <si>
    <t>Open-loop timing and cyclic prefixes in cellular internet of things communication</t>
  </si>
  <si>
    <t>Li; Junyi|Lane; Frank Anton</t>
  </si>
  <si>
    <t>H04W56/0085</t>
  </si>
  <si>
    <t>11/916,357</t>
  </si>
  <si>
    <t>Method for establishing a call rapidly in CDMA cluster communication system</t>
  </si>
  <si>
    <t>Fang; Huiying|Liu; Xuemin|Yang; Jiaan</t>
  </si>
  <si>
    <t>Fang; Huiying</t>
  </si>
  <si>
    <t>14/085,274</t>
  </si>
  <si>
    <t>Using sensor data to provide information for proximally-relevant group communications</t>
  </si>
  <si>
    <t>Suryavanshi; Vijay Anandrao|Maggenti; Mark|Sharma; Sandeep|Shuman; Mohammed Ataur Rahman</t>
  </si>
  <si>
    <t>2013/11/20</t>
  </si>
  <si>
    <t>11/916,482</t>
  </si>
  <si>
    <t>Method of uplink synchronization establishment based on the united transmission technology</t>
  </si>
  <si>
    <t>Ding; Meiling</t>
  </si>
  <si>
    <t>2005/07/06</t>
  </si>
  <si>
    <t>2012/10/30</t>
  </si>
  <si>
    <t>H04J11/0033</t>
  </si>
  <si>
    <t>12/349,251</t>
  </si>
  <si>
    <t>TDD operation in wireless communication systems</t>
  </si>
  <si>
    <t>Sarkar; Sandip</t>
  </si>
  <si>
    <t>2008/01/07</t>
  </si>
  <si>
    <t>12/937,275</t>
  </si>
  <si>
    <t>Configuration and indication methods of multicast/broadcast over a single frequency network frames and an identifying method used by a terminal</t>
  </si>
  <si>
    <t>Ma; Zijiang|Ma; Zhifeng|Yu; Bin</t>
  </si>
  <si>
    <t>H04H 20/72</t>
  </si>
  <si>
    <t>13/238,548</t>
  </si>
  <si>
    <t>Tracking loop design for unicast and multicast/broadcast signals</t>
  </si>
  <si>
    <t>Zhang; Xiaoxia|Walker; Gordon Kent|Wang; Jun|Liu; Zhengwei</t>
  </si>
  <si>
    <t>2011/06/10</t>
  </si>
  <si>
    <t>12/246,487</t>
  </si>
  <si>
    <t>Providing timing reference for femto cell in wireless communication networks</t>
  </si>
  <si>
    <t>Fang; Yonggang|Zhu; Keqiang</t>
  </si>
  <si>
    <t>2012/09/25</t>
  </si>
  <si>
    <t>1.83</t>
  </si>
  <si>
    <t>12/142,426</t>
  </si>
  <si>
    <t>Self-configuration for femtocells</t>
  </si>
  <si>
    <t>Chen; Jen Mei</t>
  </si>
  <si>
    <t>G08C 15/00</t>
  </si>
  <si>
    <t>12/401,568</t>
  </si>
  <si>
    <t>Method and system for variable-sized resource block allocation within OFDMA communication systems</t>
  </si>
  <si>
    <t>Olszewski; Kim</t>
  </si>
  <si>
    <t>2009/03/10</t>
  </si>
  <si>
    <t>13/943,716</t>
  </si>
  <si>
    <t>Inter-UE interference cancellation</t>
  </si>
  <si>
    <t>2013/07/16</t>
  </si>
  <si>
    <t>H04J11/0023</t>
  </si>
  <si>
    <t>12/237,367</t>
  </si>
  <si>
    <t>Location preference indicator in network access identifier</t>
  </si>
  <si>
    <t>Wu; Yingzhe|Qian; Nanjian</t>
  </si>
  <si>
    <t>Wu; Yingzhe</t>
  </si>
  <si>
    <t>2012/08/28</t>
  </si>
  <si>
    <t>12/619,162</t>
  </si>
  <si>
    <t>Remote access to local network</t>
  </si>
  <si>
    <t>Tinnakornsrisuphap; Peerapol|Palanigounder; Anand|Jayaram; Ranjith S.|Dondeti; Lakshminath R.|Wang; Jun</t>
  </si>
  <si>
    <t>12/441,138</t>
  </si>
  <si>
    <t>Method for reducing times of receiving overhead information by mobile multimedia broadcast terminal</t>
  </si>
  <si>
    <t>Wang; Biao|Jiang; Hua|Zhu; Xiaoguang</t>
  </si>
  <si>
    <t>Wang; Biao</t>
  </si>
  <si>
    <t>12/683,907</t>
  </si>
  <si>
    <t>System and apparatus for power-efficiently delivering update information to devices in a broadcast network</t>
  </si>
  <si>
    <t>Gao; Qiang|Gholmieh; Ralph Akram|Chen; An M.</t>
  </si>
  <si>
    <t>12/443,149</t>
  </si>
  <si>
    <t>Handoff access method and device based on random access channel</t>
  </si>
  <si>
    <t>2012/07/24</t>
  </si>
  <si>
    <t>11/662,956</t>
  </si>
  <si>
    <t>Method for assigning frequency spectrum bandwidth of an OFDM and OFDMA coexistence system</t>
  </si>
  <si>
    <t>Wang; Ning|Liu; Hexing|Gao; Xiang|Liu; Ying|Wu; Yanwei</t>
  </si>
  <si>
    <t>H04J  9/00</t>
  </si>
  <si>
    <t>11/249,010</t>
  </si>
  <si>
    <t>H03M13/23</t>
  </si>
  <si>
    <t>12/250,169</t>
  </si>
  <si>
    <t>Methods and systems for modified maximum-likelihood based TBCC decoding</t>
  </si>
  <si>
    <t>Park; Ju Won|Banister; Brian|Kim; Je Woo|Park; Jong Hyeon|Brehler; Matthias|Gurski; Remi|Chang; Tae</t>
  </si>
  <si>
    <t>2008/10/13</t>
  </si>
  <si>
    <t>H03M13/3723</t>
  </si>
  <si>
    <t>10/579,131</t>
  </si>
  <si>
    <t>Packet scheduling method for wireless communication system</t>
  </si>
  <si>
    <t>Zhang; Junfeng|Ding; Jiewei|Sun; Yi|Zhang; Jun|Pu; Yingchun</t>
  </si>
  <si>
    <t>Zhang; Junfeng</t>
  </si>
  <si>
    <t>2003/11/14</t>
  </si>
  <si>
    <t>H04L12/5693</t>
  </si>
  <si>
    <t>12/116,146</t>
  </si>
  <si>
    <t>Learning-based semi-persistent scheduling in wireless communications</t>
  </si>
  <si>
    <t>Meylan; Arnaud|Damnjanovic; Aleksandar|Chaponniere; Etienne F.</t>
  </si>
  <si>
    <t>2007/05/07</t>
  </si>
  <si>
    <t>2008/05/06</t>
  </si>
  <si>
    <t>10/523,936</t>
  </si>
  <si>
    <t>Method for decide CDMA frequency hard handoffs</t>
  </si>
  <si>
    <t>Huang; Shenghua|Zheng; Tao|Zhu; Fusheng|Xu; Bin</t>
  </si>
  <si>
    <t>Huang; Shenghua</t>
  </si>
  <si>
    <t>2003/07/15</t>
  </si>
  <si>
    <t>H04W36/38</t>
  </si>
  <si>
    <t>09/840,433</t>
  </si>
  <si>
    <t>Method for controlling outer loop power in a WCDMA system</t>
  </si>
  <si>
    <t>Yu; Yao|Zhang; Junfeng</t>
  </si>
  <si>
    <t>Yu; Yao</t>
  </si>
  <si>
    <t>2006/04/25</t>
  </si>
  <si>
    <t>11/044,543</t>
  </si>
  <si>
    <t>Uplink power control</t>
  </si>
  <si>
    <t>Malladi; Durga P.|Willenegger; Serge|Chen; Tao</t>
  </si>
  <si>
    <t>Malladi; Durga P.</t>
  </si>
  <si>
    <t>2002/06/24</t>
  </si>
  <si>
    <t>H04W52/12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</si>
</sst>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Calibri"/>
      <family val="2"/>
      <charset val="134"/>
    </font>
    <font>
      <b/>
      <sz val="10"/>
      <color theme="1"/>
      <name val="Calibri"/>
      <family val="2"/>
      <charset val="134"/>
    </font>
    <font>
      <b/>
      <sz val="10"/>
      <color theme="1"/>
      <name val="Georgia"/>
      <family val="2"/>
      <charset val="134"/>
    </font>
    <font>
      <sz val="10"/>
      <color rgb="FF0070C0"/>
      <name val="Calibri"/>
      <family val="2"/>
      <charset val="134"/>
    </font>
    <font>
      <sz val="9"/>
      <name val="Calibri"/>
      <family val="2"/>
      <charset val="134"/>
    </font>
  </fonts>
  <fills count="4">
    <fill>
      <patternFill patternType="none"/>
    </fill>
    <fill>
      <patternFill patternType="gray125"/>
    </fill>
    <fill>
      <patternFill patternType="solid">
        <fgColor rgb="FFE7F9E8"/>
        <bgColor indexed="64"/>
      </patternFill>
    </fill>
    <fill>
      <patternFill patternType="solid">
        <fgColor rgb="FF60AA14"/>
        <bgColor indexed="64"/>
      </patternFill>
    </fill>
  </fills>
  <borders count="2">
    <border>
      <left/>
      <right/>
      <top/>
      <bottom/>
      <diagonal/>
    </border>
    <border>
      <left style="thin">
        <color rgb="FF99CC00"/>
      </left>
      <right style="thin">
        <color rgb="FF99CC00"/>
      </right>
      <top style="thin">
        <color rgb="FF99CC00"/>
      </top>
      <bottom style="thin">
        <color rgb="FF99CC00"/>
      </bottom>
      <diagonal style="thin">
        <color rgb="FF99CC00"/>
      </diagonal>
    </border>
  </borders>
  <cellStyleXfs count="1">
    <xf numFmtId="0" fontId="0" fillId="0" borderId="0"/>
  </cellStyleXfs>
  <cellXfs count="9">
    <xf numFmtId="0" fontId="0" fillId="0" borderId="0" xfId="0"/>
    <xf numFmtId="0" fontId="1"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11"/>
  <sheetViews>
    <sheetView tabSelected="1" topLeftCell="E1" workbookViewId="0">
      <pane ySplit="2" topLeftCell="A96" activePane="bottomLeft" state="frozen"/>
      <selection pane="bottomLeft" activeCell="E3" sqref="E3"/>
    </sheetView>
  </sheetViews>
  <sheetFormatPr defaultRowHeight="12.75" x14ac:dyDescent="0.2"/>
  <cols>
    <col min="1" max="1" width="15" customWidth="1"/>
    <col min="2" max="2" width="18" customWidth="1"/>
    <col min="3" max="3" width="30" customWidth="1"/>
    <col min="4" max="5" width="20" customWidth="1"/>
    <col min="6" max="7" width="10" customWidth="1"/>
    <col min="8" max="10" width="11" customWidth="1"/>
    <col min="11" max="11" width="6" customWidth="1"/>
    <col min="12" max="12" width="11" customWidth="1"/>
    <col min="13" max="13" width="6" customWidth="1"/>
    <col min="14" max="14" width="11" customWidth="1"/>
    <col min="15" max="16" width="5" customWidth="1"/>
    <col min="17" max="18" width="10" customWidth="1"/>
    <col min="19" max="31" width="5" customWidth="1"/>
    <col min="32" max="32" width="8" customWidth="1"/>
    <col min="33" max="33" width="6" customWidth="1"/>
  </cols>
  <sheetData>
    <row r="1" spans="1:33" x14ac:dyDescent="0.2">
      <c r="A1" s="6" t="str">
        <f>HYPERLINK("http://www.patentics.cn","Patentics")</f>
        <v>Patentics</v>
      </c>
      <c r="B1" s="7" t="s">
        <v>0</v>
      </c>
      <c r="C1" s="7" t="s">
        <v>1</v>
      </c>
      <c r="D1" s="7" t="s">
        <v>0</v>
      </c>
      <c r="E1" s="8"/>
      <c r="F1" s="8"/>
      <c r="G1" s="8"/>
    </row>
    <row r="2" spans="1:33" ht="38.25" x14ac:dyDescent="0.2">
      <c r="A2" s="1" t="s">
        <v>2</v>
      </c>
      <c r="B2" s="1" t="s">
        <v>3</v>
      </c>
      <c r="C2" s="1" t="s">
        <v>4</v>
      </c>
      <c r="D2" s="1" t="s">
        <v>5</v>
      </c>
      <c r="E2" s="1" t="s">
        <v>6</v>
      </c>
      <c r="F2" s="1" t="s">
        <v>7</v>
      </c>
      <c r="G2" s="1" t="s">
        <v>8</v>
      </c>
      <c r="H2" s="1" t="s">
        <v>9</v>
      </c>
      <c r="I2" s="1" t="s">
        <v>10</v>
      </c>
      <c r="J2" s="1" t="s">
        <v>11</v>
      </c>
      <c r="K2" s="1" t="s">
        <v>12</v>
      </c>
      <c r="L2" s="1" t="s">
        <v>13</v>
      </c>
      <c r="M2" s="1" t="s">
        <v>14</v>
      </c>
      <c r="N2" s="1" t="s">
        <v>15</v>
      </c>
      <c r="O2" s="1" t="s">
        <v>16</v>
      </c>
      <c r="P2" s="1" t="s">
        <v>17</v>
      </c>
      <c r="Q2" s="1" t="s">
        <v>18</v>
      </c>
      <c r="R2" s="1" t="s">
        <v>19</v>
      </c>
      <c r="S2" s="1" t="s">
        <v>20</v>
      </c>
      <c r="T2" s="1" t="s">
        <v>21</v>
      </c>
      <c r="U2" s="1" t="s">
        <v>22</v>
      </c>
      <c r="V2" s="1" t="s">
        <v>23</v>
      </c>
      <c r="W2" s="1" t="s">
        <v>24</v>
      </c>
      <c r="X2" s="1" t="s">
        <v>25</v>
      </c>
      <c r="Y2" s="1" t="s">
        <v>26</v>
      </c>
      <c r="Z2" s="1" t="s">
        <v>27</v>
      </c>
      <c r="AA2" s="1" t="s">
        <v>28</v>
      </c>
      <c r="AB2" s="1" t="s">
        <v>29</v>
      </c>
      <c r="AC2" s="1" t="s">
        <v>30</v>
      </c>
      <c r="AD2" s="1" t="s">
        <v>31</v>
      </c>
      <c r="AE2" s="1" t="s">
        <v>32</v>
      </c>
      <c r="AF2" s="1" t="s">
        <v>33</v>
      </c>
      <c r="AG2" s="1" t="s">
        <v>34</v>
      </c>
    </row>
    <row r="3" spans="1:33" ht="25.5" x14ac:dyDescent="0.2">
      <c r="A3" s="4" t="str">
        <f>HYPERLINK("http://www.patentics.cn/invokexml.do?sf=ShowPatent&amp;spn=CN1520220&amp;sv=d506408c12b10ac52a5f44271c3a61d2","CN1520220")</f>
        <v>CN1520220</v>
      </c>
      <c r="B3" s="2" t="s">
        <v>35</v>
      </c>
      <c r="C3" s="2" t="s">
        <v>36</v>
      </c>
      <c r="D3" s="2" t="s">
        <v>37</v>
      </c>
      <c r="E3" s="2" t="s">
        <v>38</v>
      </c>
      <c r="F3" s="2" t="s">
        <v>39</v>
      </c>
      <c r="G3" s="2" t="s">
        <v>40</v>
      </c>
      <c r="H3" s="2" t="s">
        <v>41</v>
      </c>
      <c r="I3" s="2" t="s">
        <v>41</v>
      </c>
      <c r="J3" s="2" t="s">
        <v>42</v>
      </c>
      <c r="K3" s="2" t="s">
        <v>43</v>
      </c>
      <c r="L3" s="2" t="s">
        <v>44</v>
      </c>
      <c r="M3" s="2" t="s">
        <v>43</v>
      </c>
      <c r="N3" s="2" t="s">
        <v>45</v>
      </c>
      <c r="O3" s="2">
        <v>1</v>
      </c>
      <c r="P3" s="2">
        <v>23</v>
      </c>
      <c r="Q3" s="2" t="s">
        <v>46</v>
      </c>
      <c r="R3" s="2" t="s">
        <v>47</v>
      </c>
      <c r="S3" s="2">
        <v>1</v>
      </c>
      <c r="T3" s="2">
        <v>0</v>
      </c>
      <c r="U3" s="2">
        <v>1</v>
      </c>
      <c r="V3" s="2">
        <v>1</v>
      </c>
      <c r="W3" s="2">
        <v>49</v>
      </c>
      <c r="X3" s="2" t="s">
        <v>48</v>
      </c>
      <c r="Y3" s="2">
        <v>0</v>
      </c>
      <c r="Z3" s="2">
        <v>49</v>
      </c>
      <c r="AA3" s="2">
        <v>4</v>
      </c>
      <c r="AB3" s="2">
        <v>2</v>
      </c>
      <c r="AC3" s="2">
        <v>1</v>
      </c>
      <c r="AD3" s="2">
        <v>1</v>
      </c>
      <c r="AE3" s="2" t="s">
        <v>0</v>
      </c>
      <c r="AF3" s="2">
        <v>46</v>
      </c>
      <c r="AG3" s="2" t="s">
        <v>49</v>
      </c>
    </row>
    <row r="4" spans="1:33" ht="153" x14ac:dyDescent="0.2">
      <c r="A4" s="5" t="str">
        <f>HYPERLINK("http://www.patentics.cn/invokexml.do?sf=ShowPatent&amp;spn=US8045512&amp;sv=5732403a2fadc7aa21fac620108bf922","US8045512")</f>
        <v>US8045512</v>
      </c>
      <c r="B4" s="3" t="s">
        <v>50</v>
      </c>
      <c r="C4" s="3" t="s">
        <v>51</v>
      </c>
      <c r="D4" s="3" t="s">
        <v>52</v>
      </c>
      <c r="E4" s="3" t="s">
        <v>52</v>
      </c>
      <c r="F4" s="3" t="s">
        <v>53</v>
      </c>
      <c r="G4" s="3" t="s">
        <v>54</v>
      </c>
      <c r="H4" s="3" t="s">
        <v>55</v>
      </c>
      <c r="I4" s="3" t="s">
        <v>55</v>
      </c>
      <c r="J4" s="3" t="s">
        <v>56</v>
      </c>
      <c r="K4" s="3" t="s">
        <v>43</v>
      </c>
      <c r="L4" s="3" t="s">
        <v>57</v>
      </c>
      <c r="M4" s="3" t="s">
        <v>58</v>
      </c>
      <c r="N4" s="3" t="s">
        <v>59</v>
      </c>
      <c r="O4" s="3">
        <v>0</v>
      </c>
      <c r="P4" s="3">
        <v>10</v>
      </c>
      <c r="Q4" s="3" t="s">
        <v>60</v>
      </c>
      <c r="R4" s="3" t="s">
        <v>61</v>
      </c>
      <c r="S4" s="3">
        <v>863</v>
      </c>
      <c r="T4" s="3">
        <v>177</v>
      </c>
      <c r="U4" s="3">
        <v>686</v>
      </c>
      <c r="V4" s="3">
        <v>162</v>
      </c>
      <c r="W4" s="3">
        <v>44</v>
      </c>
      <c r="X4" s="3" t="s">
        <v>62</v>
      </c>
      <c r="Y4" s="3">
        <v>28</v>
      </c>
      <c r="Z4" s="3">
        <v>16</v>
      </c>
      <c r="AA4" s="3">
        <v>3</v>
      </c>
      <c r="AB4" s="3">
        <v>2</v>
      </c>
      <c r="AC4" s="3">
        <v>14</v>
      </c>
      <c r="AD4" s="3">
        <v>6</v>
      </c>
      <c r="AE4" s="3">
        <v>14</v>
      </c>
      <c r="AF4" s="3" t="s">
        <v>0</v>
      </c>
      <c r="AG4" s="3" t="s">
        <v>49</v>
      </c>
    </row>
    <row r="5" spans="1:33" ht="76.5" x14ac:dyDescent="0.2">
      <c r="A5" s="5" t="str">
        <f>HYPERLINK("http://www.patentics.cn/invokexml.do?sf=ShowPatent&amp;spn=US8098568&amp;sv=711754743e5f5bf76b2821a52ad327b4","US8098568")</f>
        <v>US8098568</v>
      </c>
      <c r="B5" s="3" t="s">
        <v>63</v>
      </c>
      <c r="C5" s="3" t="s">
        <v>64</v>
      </c>
      <c r="D5" s="3" t="s">
        <v>52</v>
      </c>
      <c r="E5" s="3" t="s">
        <v>52</v>
      </c>
      <c r="F5" s="3" t="s">
        <v>65</v>
      </c>
      <c r="G5" s="3" t="s">
        <v>66</v>
      </c>
      <c r="H5" s="3" t="s">
        <v>67</v>
      </c>
      <c r="I5" s="3" t="s">
        <v>68</v>
      </c>
      <c r="J5" s="3" t="s">
        <v>69</v>
      </c>
      <c r="K5" s="3" t="s">
        <v>70</v>
      </c>
      <c r="L5" s="3" t="s">
        <v>71</v>
      </c>
      <c r="M5" s="3" t="s">
        <v>58</v>
      </c>
      <c r="N5" s="3" t="s">
        <v>59</v>
      </c>
      <c r="O5" s="3">
        <v>0</v>
      </c>
      <c r="P5" s="3">
        <v>28</v>
      </c>
      <c r="Q5" s="3" t="s">
        <v>60</v>
      </c>
      <c r="R5" s="3" t="s">
        <v>61</v>
      </c>
      <c r="S5" s="3">
        <v>776</v>
      </c>
      <c r="T5" s="3">
        <v>149</v>
      </c>
      <c r="U5" s="3">
        <v>627</v>
      </c>
      <c r="V5" s="3">
        <v>158</v>
      </c>
      <c r="W5" s="3">
        <v>65</v>
      </c>
      <c r="X5" s="3" t="s">
        <v>72</v>
      </c>
      <c r="Y5" s="3">
        <v>50</v>
      </c>
      <c r="Z5" s="3">
        <v>15</v>
      </c>
      <c r="AA5" s="3">
        <v>3</v>
      </c>
      <c r="AB5" s="3">
        <v>1</v>
      </c>
      <c r="AC5" s="3">
        <v>69</v>
      </c>
      <c r="AD5" s="3">
        <v>9</v>
      </c>
      <c r="AE5" s="3">
        <v>14</v>
      </c>
      <c r="AF5" s="3" t="s">
        <v>0</v>
      </c>
      <c r="AG5" s="3" t="s">
        <v>49</v>
      </c>
    </row>
    <row r="6" spans="1:33" ht="76.5" x14ac:dyDescent="0.2">
      <c r="A6" s="5" t="str">
        <f>HYPERLINK("http://www.patentics.cn/invokexml.do?sf=ShowPatent&amp;spn=US8098569&amp;sv=a6641f7eda272220f2bd60a840a134f1","US8098569")</f>
        <v>US8098569</v>
      </c>
      <c r="B6" s="3" t="s">
        <v>73</v>
      </c>
      <c r="C6" s="3" t="s">
        <v>64</v>
      </c>
      <c r="D6" s="3" t="s">
        <v>52</v>
      </c>
      <c r="E6" s="3" t="s">
        <v>52</v>
      </c>
      <c r="F6" s="3" t="s">
        <v>65</v>
      </c>
      <c r="G6" s="3" t="s">
        <v>66</v>
      </c>
      <c r="H6" s="3" t="s">
        <v>67</v>
      </c>
      <c r="I6" s="3" t="s">
        <v>68</v>
      </c>
      <c r="J6" s="3" t="s">
        <v>69</v>
      </c>
      <c r="K6" s="3" t="s">
        <v>70</v>
      </c>
      <c r="L6" s="3" t="s">
        <v>71</v>
      </c>
      <c r="M6" s="3" t="s">
        <v>58</v>
      </c>
      <c r="N6" s="3" t="s">
        <v>59</v>
      </c>
      <c r="O6" s="3">
        <v>0</v>
      </c>
      <c r="P6" s="3">
        <v>16</v>
      </c>
      <c r="Q6" s="3" t="s">
        <v>60</v>
      </c>
      <c r="R6" s="3" t="s">
        <v>61</v>
      </c>
      <c r="S6" s="3">
        <v>771</v>
      </c>
      <c r="T6" s="3">
        <v>152</v>
      </c>
      <c r="U6" s="3">
        <v>619</v>
      </c>
      <c r="V6" s="3">
        <v>157</v>
      </c>
      <c r="W6" s="3">
        <v>42</v>
      </c>
      <c r="X6" s="3" t="s">
        <v>74</v>
      </c>
      <c r="Y6" s="3">
        <v>42</v>
      </c>
      <c r="Z6" s="3">
        <v>0</v>
      </c>
      <c r="AA6" s="3">
        <v>1</v>
      </c>
      <c r="AB6" s="3">
        <v>1</v>
      </c>
      <c r="AC6" s="3">
        <v>69</v>
      </c>
      <c r="AD6" s="3">
        <v>9</v>
      </c>
      <c r="AE6" s="3">
        <v>14</v>
      </c>
      <c r="AF6" s="3" t="s">
        <v>0</v>
      </c>
      <c r="AG6" s="3" t="s">
        <v>49</v>
      </c>
    </row>
    <row r="7" spans="1:33" ht="127.5" x14ac:dyDescent="0.2">
      <c r="A7" s="5" t="str">
        <f>HYPERLINK("http://www.patentics.cn/invokexml.do?sf=ShowPatent&amp;spn=US8446892&amp;sv=1800ae2fafe4133800c17b89e455656f","US8446892")</f>
        <v>US8446892</v>
      </c>
      <c r="B7" s="3" t="s">
        <v>75</v>
      </c>
      <c r="C7" s="3" t="s">
        <v>76</v>
      </c>
      <c r="D7" s="3" t="s">
        <v>52</v>
      </c>
      <c r="E7" s="3" t="s">
        <v>52</v>
      </c>
      <c r="F7" s="3" t="s">
        <v>77</v>
      </c>
      <c r="G7" s="3" t="s">
        <v>78</v>
      </c>
      <c r="H7" s="3" t="s">
        <v>79</v>
      </c>
      <c r="I7" s="3" t="s">
        <v>80</v>
      </c>
      <c r="J7" s="3" t="s">
        <v>81</v>
      </c>
      <c r="K7" s="3" t="s">
        <v>82</v>
      </c>
      <c r="L7" s="3" t="s">
        <v>83</v>
      </c>
      <c r="M7" s="3" t="s">
        <v>84</v>
      </c>
      <c r="N7" s="3" t="s">
        <v>85</v>
      </c>
      <c r="O7" s="3">
        <v>0</v>
      </c>
      <c r="P7" s="3">
        <v>15</v>
      </c>
      <c r="Q7" s="3" t="s">
        <v>60</v>
      </c>
      <c r="R7" s="3" t="s">
        <v>61</v>
      </c>
      <c r="S7" s="3">
        <v>1025</v>
      </c>
      <c r="T7" s="3">
        <v>230</v>
      </c>
      <c r="U7" s="3">
        <v>795</v>
      </c>
      <c r="V7" s="3">
        <v>178</v>
      </c>
      <c r="W7" s="3">
        <v>33</v>
      </c>
      <c r="X7" s="3" t="s">
        <v>86</v>
      </c>
      <c r="Y7" s="3">
        <v>27</v>
      </c>
      <c r="Z7" s="3">
        <v>6</v>
      </c>
      <c r="AA7" s="3">
        <v>3</v>
      </c>
      <c r="AB7" s="3">
        <v>1</v>
      </c>
      <c r="AC7" s="3">
        <v>23</v>
      </c>
      <c r="AD7" s="3">
        <v>15</v>
      </c>
      <c r="AE7" s="3">
        <v>14</v>
      </c>
      <c r="AF7" s="3" t="s">
        <v>0</v>
      </c>
      <c r="AG7" s="3" t="s">
        <v>49</v>
      </c>
    </row>
    <row r="8" spans="1:33" ht="51" x14ac:dyDescent="0.2">
      <c r="A8" s="5" t="str">
        <f>HYPERLINK("http://www.patentics.cn/invokexml.do?sf=ShowPatent&amp;spn=US8462859&amp;sv=c83ebdc13b38407dc3d4317ce8c7fa50","US8462859")</f>
        <v>US8462859</v>
      </c>
      <c r="B8" s="3" t="s">
        <v>87</v>
      </c>
      <c r="C8" s="3" t="s">
        <v>88</v>
      </c>
      <c r="D8" s="3" t="s">
        <v>52</v>
      </c>
      <c r="E8" s="3" t="s">
        <v>52</v>
      </c>
      <c r="F8" s="3" t="s">
        <v>89</v>
      </c>
      <c r="G8" s="3" t="s">
        <v>90</v>
      </c>
      <c r="H8" s="3" t="s">
        <v>91</v>
      </c>
      <c r="I8" s="3" t="s">
        <v>92</v>
      </c>
      <c r="J8" s="3" t="s">
        <v>93</v>
      </c>
      <c r="K8" s="3" t="s">
        <v>58</v>
      </c>
      <c r="L8" s="3" t="s">
        <v>94</v>
      </c>
      <c r="M8" s="3" t="s">
        <v>95</v>
      </c>
      <c r="N8" s="3" t="s">
        <v>96</v>
      </c>
      <c r="O8" s="3">
        <v>0</v>
      </c>
      <c r="P8" s="3">
        <v>13</v>
      </c>
      <c r="Q8" s="3" t="s">
        <v>60</v>
      </c>
      <c r="R8" s="3" t="s">
        <v>61</v>
      </c>
      <c r="S8" s="3">
        <v>952</v>
      </c>
      <c r="T8" s="3">
        <v>218</v>
      </c>
      <c r="U8" s="3">
        <v>734</v>
      </c>
      <c r="V8" s="3">
        <v>173</v>
      </c>
      <c r="W8" s="3">
        <v>36</v>
      </c>
      <c r="X8" s="3" t="s">
        <v>74</v>
      </c>
      <c r="Y8" s="3">
        <v>36</v>
      </c>
      <c r="Z8" s="3">
        <v>0</v>
      </c>
      <c r="AA8" s="3">
        <v>1</v>
      </c>
      <c r="AB8" s="3">
        <v>1</v>
      </c>
      <c r="AC8" s="3">
        <v>13</v>
      </c>
      <c r="AD8" s="3">
        <v>7</v>
      </c>
      <c r="AE8" s="3">
        <v>14</v>
      </c>
      <c r="AF8" s="3" t="s">
        <v>0</v>
      </c>
      <c r="AG8" s="3" t="s">
        <v>49</v>
      </c>
    </row>
    <row r="9" spans="1:33" ht="114.75" x14ac:dyDescent="0.2">
      <c r="A9" s="5" t="str">
        <f>HYPERLINK("http://www.patentics.cn/invokexml.do?sf=ShowPatent&amp;spn=US8477684&amp;sv=557867ff2f959f80339dc340514a9d49","US8477684")</f>
        <v>US8477684</v>
      </c>
      <c r="B9" s="3" t="s">
        <v>97</v>
      </c>
      <c r="C9" s="3" t="s">
        <v>98</v>
      </c>
      <c r="D9" s="3" t="s">
        <v>52</v>
      </c>
      <c r="E9" s="3" t="s">
        <v>52</v>
      </c>
      <c r="F9" s="3" t="s">
        <v>99</v>
      </c>
      <c r="G9" s="3" t="s">
        <v>54</v>
      </c>
      <c r="H9" s="3" t="s">
        <v>100</v>
      </c>
      <c r="I9" s="3" t="s">
        <v>101</v>
      </c>
      <c r="J9" s="3" t="s">
        <v>102</v>
      </c>
      <c r="K9" s="3" t="s">
        <v>82</v>
      </c>
      <c r="L9" s="3" t="s">
        <v>83</v>
      </c>
      <c r="M9" s="3" t="s">
        <v>58</v>
      </c>
      <c r="N9" s="3" t="s">
        <v>103</v>
      </c>
      <c r="O9" s="3">
        <v>0</v>
      </c>
      <c r="P9" s="3">
        <v>10</v>
      </c>
      <c r="Q9" s="3" t="s">
        <v>60</v>
      </c>
      <c r="R9" s="3" t="s">
        <v>61</v>
      </c>
      <c r="S9" s="3">
        <v>961</v>
      </c>
      <c r="T9" s="3">
        <v>218</v>
      </c>
      <c r="U9" s="3">
        <v>743</v>
      </c>
      <c r="V9" s="3">
        <v>178</v>
      </c>
      <c r="W9" s="3">
        <v>36</v>
      </c>
      <c r="X9" s="3" t="s">
        <v>104</v>
      </c>
      <c r="Y9" s="3">
        <v>27</v>
      </c>
      <c r="Z9" s="3">
        <v>9</v>
      </c>
      <c r="AA9" s="3">
        <v>2</v>
      </c>
      <c r="AB9" s="3">
        <v>2</v>
      </c>
      <c r="AC9" s="3">
        <v>16</v>
      </c>
      <c r="AD9" s="3">
        <v>10</v>
      </c>
      <c r="AE9" s="3">
        <v>14</v>
      </c>
      <c r="AF9" s="3" t="s">
        <v>0</v>
      </c>
      <c r="AG9" s="3" t="s">
        <v>49</v>
      </c>
    </row>
    <row r="10" spans="1:33" ht="127.5" x14ac:dyDescent="0.2">
      <c r="A10" s="5" t="str">
        <f>HYPERLINK("http://www.patentics.cn/invokexml.do?sf=ShowPatent&amp;spn=US8547951&amp;sv=24bedb4058cf850d3c3c60df06970a4a","US8547951")</f>
        <v>US8547951</v>
      </c>
      <c r="B10" s="3" t="s">
        <v>105</v>
      </c>
      <c r="C10" s="3" t="s">
        <v>76</v>
      </c>
      <c r="D10" s="3" t="s">
        <v>52</v>
      </c>
      <c r="E10" s="3" t="s">
        <v>52</v>
      </c>
      <c r="F10" s="3" t="s">
        <v>77</v>
      </c>
      <c r="G10" s="3" t="s">
        <v>78</v>
      </c>
      <c r="H10" s="3" t="s">
        <v>79</v>
      </c>
      <c r="I10" s="3" t="s">
        <v>106</v>
      </c>
      <c r="J10" s="3" t="s">
        <v>107</v>
      </c>
      <c r="K10" s="3" t="s">
        <v>82</v>
      </c>
      <c r="L10" s="3" t="s">
        <v>83</v>
      </c>
      <c r="M10" s="3" t="s">
        <v>84</v>
      </c>
      <c r="N10" s="3" t="s">
        <v>85</v>
      </c>
      <c r="O10" s="3">
        <v>0</v>
      </c>
      <c r="P10" s="3">
        <v>18</v>
      </c>
      <c r="Q10" s="3" t="s">
        <v>60</v>
      </c>
      <c r="R10" s="3" t="s">
        <v>61</v>
      </c>
      <c r="S10" s="3">
        <v>955</v>
      </c>
      <c r="T10" s="3">
        <v>216</v>
      </c>
      <c r="U10" s="3">
        <v>739</v>
      </c>
      <c r="V10" s="3">
        <v>176</v>
      </c>
      <c r="W10" s="3">
        <v>7</v>
      </c>
      <c r="X10" s="3" t="s">
        <v>108</v>
      </c>
      <c r="Y10" s="3">
        <v>2</v>
      </c>
      <c r="Z10" s="3">
        <v>5</v>
      </c>
      <c r="AA10" s="3">
        <v>2</v>
      </c>
      <c r="AB10" s="3">
        <v>1</v>
      </c>
      <c r="AC10" s="3">
        <v>23</v>
      </c>
      <c r="AD10" s="3">
        <v>15</v>
      </c>
      <c r="AE10" s="3">
        <v>14</v>
      </c>
      <c r="AF10" s="3" t="s">
        <v>0</v>
      </c>
      <c r="AG10" s="3" t="s">
        <v>49</v>
      </c>
    </row>
    <row r="11" spans="1:33" ht="38.25" x14ac:dyDescent="0.2">
      <c r="A11" s="5" t="str">
        <f>HYPERLINK("http://www.patentics.cn/invokexml.do?sf=ShowPatent&amp;spn=US8565194&amp;sv=d71ed62093e5276a4ce10824498440a4","US8565194")</f>
        <v>US8565194</v>
      </c>
      <c r="B11" s="3" t="s">
        <v>109</v>
      </c>
      <c r="C11" s="3" t="s">
        <v>110</v>
      </c>
      <c r="D11" s="3" t="s">
        <v>52</v>
      </c>
      <c r="E11" s="3" t="s">
        <v>52</v>
      </c>
      <c r="F11" s="3" t="s">
        <v>111</v>
      </c>
      <c r="G11" s="3" t="s">
        <v>112</v>
      </c>
      <c r="H11" s="3" t="s">
        <v>55</v>
      </c>
      <c r="I11" s="3" t="s">
        <v>55</v>
      </c>
      <c r="J11" s="3" t="s">
        <v>113</v>
      </c>
      <c r="K11" s="3" t="s">
        <v>84</v>
      </c>
      <c r="L11" s="3" t="s">
        <v>114</v>
      </c>
      <c r="M11" s="3" t="s">
        <v>84</v>
      </c>
      <c r="N11" s="3" t="s">
        <v>115</v>
      </c>
      <c r="O11" s="3">
        <v>0</v>
      </c>
      <c r="P11" s="3">
        <v>9</v>
      </c>
      <c r="Q11" s="3" t="s">
        <v>60</v>
      </c>
      <c r="R11" s="3" t="s">
        <v>61</v>
      </c>
      <c r="S11" s="3">
        <v>985</v>
      </c>
      <c r="T11" s="3">
        <v>221</v>
      </c>
      <c r="U11" s="3">
        <v>764</v>
      </c>
      <c r="V11" s="3">
        <v>182</v>
      </c>
      <c r="W11" s="3">
        <v>25</v>
      </c>
      <c r="X11" s="3" t="s">
        <v>116</v>
      </c>
      <c r="Y11" s="3">
        <v>13</v>
      </c>
      <c r="Z11" s="3">
        <v>12</v>
      </c>
      <c r="AA11" s="3">
        <v>4</v>
      </c>
      <c r="AB11" s="3">
        <v>2</v>
      </c>
      <c r="AC11" s="3">
        <v>18</v>
      </c>
      <c r="AD11" s="3">
        <v>12</v>
      </c>
      <c r="AE11" s="3">
        <v>14</v>
      </c>
      <c r="AF11" s="3" t="s">
        <v>0</v>
      </c>
      <c r="AG11" s="3" t="s">
        <v>49</v>
      </c>
    </row>
    <row r="12" spans="1:33" ht="153" x14ac:dyDescent="0.2">
      <c r="A12" s="5" t="str">
        <f>HYPERLINK("http://www.patentics.cn/invokexml.do?sf=ShowPatent&amp;spn=US8582509&amp;sv=43646bce687e594b7460ce4ae6e9126c","US8582509")</f>
        <v>US8582509</v>
      </c>
      <c r="B12" s="3" t="s">
        <v>117</v>
      </c>
      <c r="C12" s="3" t="s">
        <v>51</v>
      </c>
      <c r="D12" s="3" t="s">
        <v>52</v>
      </c>
      <c r="E12" s="3" t="s">
        <v>52</v>
      </c>
      <c r="F12" s="3" t="s">
        <v>53</v>
      </c>
      <c r="G12" s="3" t="s">
        <v>54</v>
      </c>
      <c r="H12" s="3" t="s">
        <v>55</v>
      </c>
      <c r="I12" s="3" t="s">
        <v>55</v>
      </c>
      <c r="J12" s="3" t="s">
        <v>118</v>
      </c>
      <c r="K12" s="3" t="s">
        <v>43</v>
      </c>
      <c r="L12" s="3" t="s">
        <v>57</v>
      </c>
      <c r="M12" s="3" t="s">
        <v>82</v>
      </c>
      <c r="N12" s="3" t="s">
        <v>119</v>
      </c>
      <c r="O12" s="3">
        <v>0</v>
      </c>
      <c r="P12" s="3">
        <v>9</v>
      </c>
      <c r="Q12" s="3" t="s">
        <v>60</v>
      </c>
      <c r="R12" s="3" t="s">
        <v>61</v>
      </c>
      <c r="S12" s="3">
        <v>1019</v>
      </c>
      <c r="T12" s="3">
        <v>232</v>
      </c>
      <c r="U12" s="3">
        <v>787</v>
      </c>
      <c r="V12" s="3">
        <v>177</v>
      </c>
      <c r="W12" s="3">
        <v>20</v>
      </c>
      <c r="X12" s="3" t="s">
        <v>120</v>
      </c>
      <c r="Y12" s="3">
        <v>14</v>
      </c>
      <c r="Z12" s="3">
        <v>6</v>
      </c>
      <c r="AA12" s="3">
        <v>1</v>
      </c>
      <c r="AB12" s="3">
        <v>2</v>
      </c>
      <c r="AC12" s="3">
        <v>8</v>
      </c>
      <c r="AD12" s="3">
        <v>7</v>
      </c>
      <c r="AE12" s="3">
        <v>14</v>
      </c>
      <c r="AF12" s="3" t="s">
        <v>0</v>
      </c>
      <c r="AG12" s="3" t="s">
        <v>49</v>
      </c>
    </row>
    <row r="13" spans="1:33" ht="51" x14ac:dyDescent="0.2">
      <c r="A13" s="5" t="str">
        <f>HYPERLINK("http://www.patentics.cn/invokexml.do?sf=ShowPatent&amp;spn=US8582548&amp;sv=91b212b0c201f8b2d54aace64eb893f7","US8582548")</f>
        <v>US8582548</v>
      </c>
      <c r="B13" s="3" t="s">
        <v>121</v>
      </c>
      <c r="C13" s="3" t="s">
        <v>122</v>
      </c>
      <c r="D13" s="3" t="s">
        <v>52</v>
      </c>
      <c r="E13" s="3" t="s">
        <v>52</v>
      </c>
      <c r="F13" s="3" t="s">
        <v>123</v>
      </c>
      <c r="G13" s="3" t="s">
        <v>124</v>
      </c>
      <c r="H13" s="3" t="s">
        <v>125</v>
      </c>
      <c r="I13" s="3" t="s">
        <v>126</v>
      </c>
      <c r="J13" s="3" t="s">
        <v>118</v>
      </c>
      <c r="K13" s="3" t="s">
        <v>84</v>
      </c>
      <c r="L13" s="3" t="s">
        <v>127</v>
      </c>
      <c r="M13" s="3" t="s">
        <v>84</v>
      </c>
      <c r="N13" s="3" t="s">
        <v>128</v>
      </c>
      <c r="O13" s="3">
        <v>0</v>
      </c>
      <c r="P13" s="3">
        <v>8</v>
      </c>
      <c r="Q13" s="3" t="s">
        <v>60</v>
      </c>
      <c r="R13" s="3" t="s">
        <v>61</v>
      </c>
      <c r="S13" s="3">
        <v>971</v>
      </c>
      <c r="T13" s="3">
        <v>208</v>
      </c>
      <c r="U13" s="3">
        <v>763</v>
      </c>
      <c r="V13" s="3">
        <v>177</v>
      </c>
      <c r="W13" s="3">
        <v>13</v>
      </c>
      <c r="X13" s="3" t="s">
        <v>129</v>
      </c>
      <c r="Y13" s="3">
        <v>13</v>
      </c>
      <c r="Z13" s="3">
        <v>0</v>
      </c>
      <c r="AA13" s="3">
        <v>1</v>
      </c>
      <c r="AB13" s="3">
        <v>1</v>
      </c>
      <c r="AC13" s="3">
        <v>5</v>
      </c>
      <c r="AD13" s="3">
        <v>3</v>
      </c>
      <c r="AE13" s="3">
        <v>14</v>
      </c>
      <c r="AF13" s="3" t="s">
        <v>0</v>
      </c>
      <c r="AG13" s="3" t="s">
        <v>49</v>
      </c>
    </row>
    <row r="14" spans="1:33" ht="25.5" x14ac:dyDescent="0.2">
      <c r="A14" s="5" t="str">
        <f>HYPERLINK("http://www.patentics.cn/invokexml.do?sf=ShowPatent&amp;spn=US8599945&amp;sv=702c4f1db7b50a81499644d79d73d4f9","US8599945")</f>
        <v>US8599945</v>
      </c>
      <c r="B14" s="3" t="s">
        <v>130</v>
      </c>
      <c r="C14" s="3" t="s">
        <v>131</v>
      </c>
      <c r="D14" s="3" t="s">
        <v>52</v>
      </c>
      <c r="E14" s="3" t="s">
        <v>52</v>
      </c>
      <c r="F14" s="3" t="s">
        <v>90</v>
      </c>
      <c r="G14" s="3" t="s">
        <v>90</v>
      </c>
      <c r="H14" s="3" t="s">
        <v>132</v>
      </c>
      <c r="I14" s="3" t="s">
        <v>133</v>
      </c>
      <c r="J14" s="3" t="s">
        <v>134</v>
      </c>
      <c r="K14" s="3" t="s">
        <v>84</v>
      </c>
      <c r="L14" s="3" t="s">
        <v>135</v>
      </c>
      <c r="M14" s="3" t="s">
        <v>84</v>
      </c>
      <c r="N14" s="3" t="s">
        <v>136</v>
      </c>
      <c r="O14" s="3">
        <v>0</v>
      </c>
      <c r="P14" s="3">
        <v>10</v>
      </c>
      <c r="Q14" s="3" t="s">
        <v>60</v>
      </c>
      <c r="R14" s="3" t="s">
        <v>61</v>
      </c>
      <c r="S14" s="3">
        <v>986</v>
      </c>
      <c r="T14" s="3">
        <v>219</v>
      </c>
      <c r="U14" s="3">
        <v>767</v>
      </c>
      <c r="V14" s="3">
        <v>178</v>
      </c>
      <c r="W14" s="3">
        <v>9</v>
      </c>
      <c r="X14" s="3" t="s">
        <v>137</v>
      </c>
      <c r="Y14" s="3">
        <v>8</v>
      </c>
      <c r="Z14" s="3">
        <v>1</v>
      </c>
      <c r="AA14" s="3">
        <v>2</v>
      </c>
      <c r="AB14" s="3">
        <v>1</v>
      </c>
      <c r="AC14" s="3">
        <v>19</v>
      </c>
      <c r="AD14" s="3">
        <v>13</v>
      </c>
      <c r="AE14" s="3">
        <v>14</v>
      </c>
      <c r="AF14" s="3" t="s">
        <v>0</v>
      </c>
      <c r="AG14" s="3" t="s">
        <v>49</v>
      </c>
    </row>
    <row r="15" spans="1:33" ht="102" x14ac:dyDescent="0.2">
      <c r="A15" s="5" t="str">
        <f>HYPERLINK("http://www.patentics.cn/invokexml.do?sf=ShowPatent&amp;spn=US8611284&amp;sv=9b9b44942794ab4a79db55812a4f3c42","US8611284")</f>
        <v>US8611284</v>
      </c>
      <c r="B15" s="3" t="s">
        <v>138</v>
      </c>
      <c r="C15" s="3" t="s">
        <v>139</v>
      </c>
      <c r="D15" s="3" t="s">
        <v>52</v>
      </c>
      <c r="E15" s="3" t="s">
        <v>52</v>
      </c>
      <c r="F15" s="3" t="s">
        <v>140</v>
      </c>
      <c r="G15" s="3" t="s">
        <v>141</v>
      </c>
      <c r="H15" s="3" t="s">
        <v>142</v>
      </c>
      <c r="I15" s="3" t="s">
        <v>143</v>
      </c>
      <c r="J15" s="3" t="s">
        <v>144</v>
      </c>
      <c r="K15" s="3" t="s">
        <v>43</v>
      </c>
      <c r="L15" s="3" t="s">
        <v>145</v>
      </c>
      <c r="M15" s="3" t="s">
        <v>58</v>
      </c>
      <c r="N15" s="3" t="s">
        <v>146</v>
      </c>
      <c r="O15" s="3">
        <v>0</v>
      </c>
      <c r="P15" s="3">
        <v>12</v>
      </c>
      <c r="Q15" s="3" t="s">
        <v>60</v>
      </c>
      <c r="R15" s="3" t="s">
        <v>61</v>
      </c>
      <c r="S15" s="3">
        <v>930</v>
      </c>
      <c r="T15" s="3">
        <v>184</v>
      </c>
      <c r="U15" s="3">
        <v>746</v>
      </c>
      <c r="V15" s="3">
        <v>174</v>
      </c>
      <c r="W15" s="3">
        <v>1</v>
      </c>
      <c r="X15" s="3" t="s">
        <v>147</v>
      </c>
      <c r="Y15" s="3">
        <v>1</v>
      </c>
      <c r="Z15" s="3">
        <v>0</v>
      </c>
      <c r="AA15" s="3">
        <v>1</v>
      </c>
      <c r="AB15" s="3">
        <v>1</v>
      </c>
      <c r="AC15" s="3">
        <v>47</v>
      </c>
      <c r="AD15" s="3">
        <v>17</v>
      </c>
      <c r="AE15" s="3">
        <v>14</v>
      </c>
      <c r="AF15" s="3" t="s">
        <v>0</v>
      </c>
      <c r="AG15" s="3" t="s">
        <v>49</v>
      </c>
    </row>
    <row r="16" spans="1:33" ht="63.75" x14ac:dyDescent="0.2">
      <c r="A16" s="5" t="str">
        <f>HYPERLINK("http://www.patentics.cn/invokexml.do?sf=ShowPatent&amp;spn=US8644292&amp;sv=99e3f921ca8863ba799896c701258b63","US8644292")</f>
        <v>US8644292</v>
      </c>
      <c r="B16" s="3" t="s">
        <v>148</v>
      </c>
      <c r="C16" s="3" t="s">
        <v>149</v>
      </c>
      <c r="D16" s="3" t="s">
        <v>52</v>
      </c>
      <c r="E16" s="3" t="s">
        <v>52</v>
      </c>
      <c r="F16" s="3" t="s">
        <v>150</v>
      </c>
      <c r="G16" s="3" t="s">
        <v>112</v>
      </c>
      <c r="H16" s="3" t="s">
        <v>151</v>
      </c>
      <c r="I16" s="3" t="s">
        <v>55</v>
      </c>
      <c r="J16" s="3" t="s">
        <v>152</v>
      </c>
      <c r="K16" s="3" t="s">
        <v>70</v>
      </c>
      <c r="L16" s="3" t="s">
        <v>153</v>
      </c>
      <c r="M16" s="3" t="s">
        <v>82</v>
      </c>
      <c r="N16" s="3" t="s">
        <v>154</v>
      </c>
      <c r="O16" s="3">
        <v>0</v>
      </c>
      <c r="P16" s="3">
        <v>15</v>
      </c>
      <c r="Q16" s="3" t="s">
        <v>60</v>
      </c>
      <c r="R16" s="3" t="s">
        <v>61</v>
      </c>
      <c r="S16" s="3">
        <v>999</v>
      </c>
      <c r="T16" s="3">
        <v>230</v>
      </c>
      <c r="U16" s="3">
        <v>769</v>
      </c>
      <c r="V16" s="3">
        <v>176</v>
      </c>
      <c r="W16" s="3">
        <v>8</v>
      </c>
      <c r="X16" s="3" t="s">
        <v>155</v>
      </c>
      <c r="Y16" s="3">
        <v>7</v>
      </c>
      <c r="Z16" s="3">
        <v>1</v>
      </c>
      <c r="AA16" s="3">
        <v>2</v>
      </c>
      <c r="AB16" s="3">
        <v>1</v>
      </c>
      <c r="AC16" s="3">
        <v>44</v>
      </c>
      <c r="AD16" s="3">
        <v>19</v>
      </c>
      <c r="AE16" s="3">
        <v>14</v>
      </c>
      <c r="AF16" s="3" t="s">
        <v>0</v>
      </c>
      <c r="AG16" s="3" t="s">
        <v>49</v>
      </c>
    </row>
    <row r="17" spans="1:33" ht="51" x14ac:dyDescent="0.2">
      <c r="A17" s="5" t="str">
        <f>HYPERLINK("http://www.patentics.cn/invokexml.do?sf=ShowPatent&amp;spn=US8681764&amp;sv=c0766a24f96cf2b97cd05a7573d2c080","US8681764")</f>
        <v>US8681764</v>
      </c>
      <c r="B17" s="3" t="s">
        <v>156</v>
      </c>
      <c r="C17" s="3" t="s">
        <v>122</v>
      </c>
      <c r="D17" s="3" t="s">
        <v>52</v>
      </c>
      <c r="E17" s="3" t="s">
        <v>52</v>
      </c>
      <c r="F17" s="3" t="s">
        <v>123</v>
      </c>
      <c r="G17" s="3" t="s">
        <v>124</v>
      </c>
      <c r="H17" s="3" t="s">
        <v>125</v>
      </c>
      <c r="I17" s="3" t="s">
        <v>157</v>
      </c>
      <c r="J17" s="3" t="s">
        <v>158</v>
      </c>
      <c r="K17" s="3" t="s">
        <v>84</v>
      </c>
      <c r="L17" s="3" t="s">
        <v>127</v>
      </c>
      <c r="M17" s="3" t="s">
        <v>84</v>
      </c>
      <c r="N17" s="3" t="s">
        <v>128</v>
      </c>
      <c r="O17" s="3">
        <v>0</v>
      </c>
      <c r="P17" s="3">
        <v>10</v>
      </c>
      <c r="Q17" s="3" t="s">
        <v>60</v>
      </c>
      <c r="R17" s="3" t="s">
        <v>61</v>
      </c>
      <c r="S17" s="3">
        <v>994</v>
      </c>
      <c r="T17" s="3">
        <v>228</v>
      </c>
      <c r="U17" s="3">
        <v>766</v>
      </c>
      <c r="V17" s="3">
        <v>178</v>
      </c>
      <c r="W17" s="3">
        <v>1</v>
      </c>
      <c r="X17" s="3" t="s">
        <v>147</v>
      </c>
      <c r="Y17" s="3">
        <v>1</v>
      </c>
      <c r="Z17" s="3">
        <v>0</v>
      </c>
      <c r="AA17" s="3">
        <v>1</v>
      </c>
      <c r="AB17" s="3">
        <v>1</v>
      </c>
      <c r="AC17" s="3">
        <v>5</v>
      </c>
      <c r="AD17" s="3">
        <v>3</v>
      </c>
      <c r="AE17" s="3">
        <v>14</v>
      </c>
      <c r="AF17" s="3" t="s">
        <v>0</v>
      </c>
      <c r="AG17" s="3" t="s">
        <v>49</v>
      </c>
    </row>
    <row r="18" spans="1:33" ht="127.5" x14ac:dyDescent="0.2">
      <c r="A18" s="5" t="str">
        <f>HYPERLINK("http://www.patentics.cn/invokexml.do?sf=ShowPatent&amp;spn=US8693405&amp;sv=8b5c3d75111bd8f5b25299604862ac94","US8693405")</f>
        <v>US8693405</v>
      </c>
      <c r="B18" s="3" t="s">
        <v>159</v>
      </c>
      <c r="C18" s="3" t="s">
        <v>160</v>
      </c>
      <c r="D18" s="3" t="s">
        <v>52</v>
      </c>
      <c r="E18" s="3" t="s">
        <v>52</v>
      </c>
      <c r="F18" s="3" t="s">
        <v>161</v>
      </c>
      <c r="G18" s="3" t="s">
        <v>78</v>
      </c>
      <c r="H18" s="3" t="s">
        <v>55</v>
      </c>
      <c r="I18" s="3" t="s">
        <v>55</v>
      </c>
      <c r="J18" s="3" t="s">
        <v>162</v>
      </c>
      <c r="K18" s="3" t="s">
        <v>84</v>
      </c>
      <c r="L18" s="3" t="s">
        <v>163</v>
      </c>
      <c r="M18" s="3" t="s">
        <v>84</v>
      </c>
      <c r="N18" s="3" t="s">
        <v>164</v>
      </c>
      <c r="O18" s="3">
        <v>0</v>
      </c>
      <c r="P18" s="3">
        <v>15</v>
      </c>
      <c r="Q18" s="3" t="s">
        <v>60</v>
      </c>
      <c r="R18" s="3" t="s">
        <v>61</v>
      </c>
      <c r="S18" s="3">
        <v>1069</v>
      </c>
      <c r="T18" s="3">
        <v>238</v>
      </c>
      <c r="U18" s="3">
        <v>831</v>
      </c>
      <c r="V18" s="3">
        <v>191</v>
      </c>
      <c r="W18" s="3">
        <v>10</v>
      </c>
      <c r="X18" s="3" t="s">
        <v>165</v>
      </c>
      <c r="Y18" s="3">
        <v>10</v>
      </c>
      <c r="Z18" s="3">
        <v>0</v>
      </c>
      <c r="AA18" s="3">
        <v>1</v>
      </c>
      <c r="AB18" s="3">
        <v>1</v>
      </c>
      <c r="AC18" s="3">
        <v>19</v>
      </c>
      <c r="AD18" s="3">
        <v>14</v>
      </c>
      <c r="AE18" s="3">
        <v>14</v>
      </c>
      <c r="AF18" s="3" t="s">
        <v>0</v>
      </c>
      <c r="AG18" s="3" t="s">
        <v>49</v>
      </c>
    </row>
    <row r="19" spans="1:33" ht="76.5" x14ac:dyDescent="0.2">
      <c r="A19" s="5" t="str">
        <f>HYPERLINK("http://www.patentics.cn/invokexml.do?sf=ShowPatent&amp;spn=US8787347&amp;sv=cdcc20da7e84f36c16a7e128e6f111e6","US8787347")</f>
        <v>US8787347</v>
      </c>
      <c r="B19" s="3" t="s">
        <v>166</v>
      </c>
      <c r="C19" s="3" t="s">
        <v>149</v>
      </c>
      <c r="D19" s="3" t="s">
        <v>52</v>
      </c>
      <c r="E19" s="3" t="s">
        <v>52</v>
      </c>
      <c r="F19" s="3" t="s">
        <v>167</v>
      </c>
      <c r="G19" s="3" t="s">
        <v>112</v>
      </c>
      <c r="H19" s="3" t="s">
        <v>151</v>
      </c>
      <c r="I19" s="3" t="s">
        <v>168</v>
      </c>
      <c r="J19" s="3" t="s">
        <v>169</v>
      </c>
      <c r="K19" s="3" t="s">
        <v>70</v>
      </c>
      <c r="L19" s="3" t="s">
        <v>153</v>
      </c>
      <c r="M19" s="3" t="s">
        <v>82</v>
      </c>
      <c r="N19" s="3" t="s">
        <v>154</v>
      </c>
      <c r="O19" s="3">
        <v>0</v>
      </c>
      <c r="P19" s="3">
        <v>10</v>
      </c>
      <c r="Q19" s="3" t="s">
        <v>60</v>
      </c>
      <c r="R19" s="3" t="s">
        <v>61</v>
      </c>
      <c r="S19" s="3">
        <v>1085</v>
      </c>
      <c r="T19" s="3">
        <v>242</v>
      </c>
      <c r="U19" s="3">
        <v>843</v>
      </c>
      <c r="V19" s="3">
        <v>191</v>
      </c>
      <c r="W19" s="3">
        <v>3</v>
      </c>
      <c r="X19" s="3" t="s">
        <v>74</v>
      </c>
      <c r="Y19" s="3">
        <v>1</v>
      </c>
      <c r="Z19" s="3">
        <v>2</v>
      </c>
      <c r="AA19" s="3">
        <v>2</v>
      </c>
      <c r="AB19" s="3">
        <v>1</v>
      </c>
      <c r="AC19" s="3">
        <v>44</v>
      </c>
      <c r="AD19" s="3">
        <v>19</v>
      </c>
      <c r="AE19" s="3">
        <v>14</v>
      </c>
      <c r="AF19" s="3" t="s">
        <v>0</v>
      </c>
      <c r="AG19" s="3" t="s">
        <v>49</v>
      </c>
    </row>
    <row r="20" spans="1:33" ht="89.25" x14ac:dyDescent="0.2">
      <c r="A20" s="5" t="str">
        <f>HYPERLINK("http://www.patentics.cn/invokexml.do?sf=ShowPatent&amp;spn=US8831607&amp;sv=3754fa9e476c82a08c431f459ee28ae9","US8831607")</f>
        <v>US8831607</v>
      </c>
      <c r="B20" s="3" t="s">
        <v>170</v>
      </c>
      <c r="C20" s="3" t="s">
        <v>171</v>
      </c>
      <c r="D20" s="3" t="s">
        <v>52</v>
      </c>
      <c r="E20" s="3" t="s">
        <v>52</v>
      </c>
      <c r="F20" s="3" t="s">
        <v>172</v>
      </c>
      <c r="G20" s="3" t="s">
        <v>173</v>
      </c>
      <c r="H20" s="3" t="s">
        <v>174</v>
      </c>
      <c r="I20" s="3" t="s">
        <v>175</v>
      </c>
      <c r="J20" s="3" t="s">
        <v>176</v>
      </c>
      <c r="K20" s="3" t="s">
        <v>82</v>
      </c>
      <c r="L20" s="3" t="s">
        <v>177</v>
      </c>
      <c r="M20" s="3" t="s">
        <v>58</v>
      </c>
      <c r="N20" s="3" t="s">
        <v>178</v>
      </c>
      <c r="O20" s="3">
        <v>0</v>
      </c>
      <c r="P20" s="3">
        <v>20</v>
      </c>
      <c r="Q20" s="3" t="s">
        <v>60</v>
      </c>
      <c r="R20" s="3" t="s">
        <v>61</v>
      </c>
      <c r="S20" s="3">
        <v>599</v>
      </c>
      <c r="T20" s="3">
        <v>146</v>
      </c>
      <c r="U20" s="3">
        <v>453</v>
      </c>
      <c r="V20" s="3">
        <v>132</v>
      </c>
      <c r="W20" s="3">
        <v>1</v>
      </c>
      <c r="X20" s="3" t="s">
        <v>147</v>
      </c>
      <c r="Y20" s="3">
        <v>1</v>
      </c>
      <c r="Z20" s="3">
        <v>0</v>
      </c>
      <c r="AA20" s="3">
        <v>1</v>
      </c>
      <c r="AB20" s="3">
        <v>1</v>
      </c>
      <c r="AC20" s="3">
        <v>9</v>
      </c>
      <c r="AD20" s="3">
        <v>7</v>
      </c>
      <c r="AE20" s="3">
        <v>14</v>
      </c>
      <c r="AF20" s="3" t="s">
        <v>0</v>
      </c>
      <c r="AG20" s="3" t="s">
        <v>49</v>
      </c>
    </row>
    <row r="21" spans="1:33" ht="178.5" x14ac:dyDescent="0.2">
      <c r="A21" s="5" t="str">
        <f>HYPERLINK("http://www.patentics.cn/invokexml.do?sf=ShowPatent&amp;spn=US8842619&amp;sv=e195cd3bb857a649579b3da6d240d34c","US8842619")</f>
        <v>US8842619</v>
      </c>
      <c r="B21" s="3" t="s">
        <v>179</v>
      </c>
      <c r="C21" s="3" t="s">
        <v>51</v>
      </c>
      <c r="D21" s="3" t="s">
        <v>52</v>
      </c>
      <c r="E21" s="3" t="s">
        <v>52</v>
      </c>
      <c r="F21" s="3" t="s">
        <v>180</v>
      </c>
      <c r="G21" s="3" t="s">
        <v>181</v>
      </c>
      <c r="H21" s="3" t="s">
        <v>55</v>
      </c>
      <c r="I21" s="3" t="s">
        <v>182</v>
      </c>
      <c r="J21" s="3" t="s">
        <v>183</v>
      </c>
      <c r="K21" s="3" t="s">
        <v>43</v>
      </c>
      <c r="L21" s="3" t="s">
        <v>57</v>
      </c>
      <c r="M21" s="3" t="s">
        <v>58</v>
      </c>
      <c r="N21" s="3" t="s">
        <v>59</v>
      </c>
      <c r="O21" s="3">
        <v>0</v>
      </c>
      <c r="P21" s="3">
        <v>9</v>
      </c>
      <c r="Q21" s="3" t="s">
        <v>60</v>
      </c>
      <c r="R21" s="3" t="s">
        <v>61</v>
      </c>
      <c r="S21" s="3">
        <v>1009</v>
      </c>
      <c r="T21" s="3">
        <v>222</v>
      </c>
      <c r="U21" s="3">
        <v>787</v>
      </c>
      <c r="V21" s="3">
        <v>187</v>
      </c>
      <c r="W21" s="3">
        <v>15</v>
      </c>
      <c r="X21" s="3" t="s">
        <v>147</v>
      </c>
      <c r="Y21" s="3">
        <v>1</v>
      </c>
      <c r="Z21" s="3">
        <v>14</v>
      </c>
      <c r="AA21" s="3">
        <v>1</v>
      </c>
      <c r="AB21" s="3">
        <v>2</v>
      </c>
      <c r="AC21" s="3">
        <v>14</v>
      </c>
      <c r="AD21" s="3">
        <v>6</v>
      </c>
      <c r="AE21" s="3">
        <v>14</v>
      </c>
      <c r="AF21" s="3" t="s">
        <v>0</v>
      </c>
      <c r="AG21" s="3" t="s">
        <v>49</v>
      </c>
    </row>
    <row r="22" spans="1:33" ht="76.5" x14ac:dyDescent="0.2">
      <c r="A22" s="5" t="str">
        <f>HYPERLINK("http://www.patentics.cn/invokexml.do?sf=ShowPatent&amp;spn=US8879511&amp;sv=4e1559cdb71c1deab73273b6c038855e","US8879511")</f>
        <v>US8879511</v>
      </c>
      <c r="B22" s="3" t="s">
        <v>184</v>
      </c>
      <c r="C22" s="3" t="s">
        <v>185</v>
      </c>
      <c r="D22" s="3" t="s">
        <v>52</v>
      </c>
      <c r="E22" s="3" t="s">
        <v>52</v>
      </c>
      <c r="F22" s="3" t="s">
        <v>186</v>
      </c>
      <c r="G22" s="3" t="s">
        <v>141</v>
      </c>
      <c r="H22" s="3" t="s">
        <v>143</v>
      </c>
      <c r="I22" s="3" t="s">
        <v>143</v>
      </c>
      <c r="J22" s="3" t="s">
        <v>187</v>
      </c>
      <c r="K22" s="3" t="s">
        <v>58</v>
      </c>
      <c r="L22" s="3" t="s">
        <v>188</v>
      </c>
      <c r="M22" s="3" t="s">
        <v>58</v>
      </c>
      <c r="N22" s="3" t="s">
        <v>59</v>
      </c>
      <c r="O22" s="3">
        <v>0</v>
      </c>
      <c r="P22" s="3">
        <v>16</v>
      </c>
      <c r="Q22" s="3" t="s">
        <v>60</v>
      </c>
      <c r="R22" s="3" t="s">
        <v>61</v>
      </c>
      <c r="S22" s="3">
        <v>1129</v>
      </c>
      <c r="T22" s="3">
        <v>262</v>
      </c>
      <c r="U22" s="3">
        <v>867</v>
      </c>
      <c r="V22" s="3">
        <v>189</v>
      </c>
      <c r="W22" s="3">
        <v>14</v>
      </c>
      <c r="X22" s="3" t="s">
        <v>189</v>
      </c>
      <c r="Y22" s="3">
        <v>4</v>
      </c>
      <c r="Z22" s="3">
        <v>10</v>
      </c>
      <c r="AA22" s="3">
        <v>3</v>
      </c>
      <c r="AB22" s="3">
        <v>2</v>
      </c>
      <c r="AC22" s="3">
        <v>5</v>
      </c>
      <c r="AD22" s="3">
        <v>2</v>
      </c>
      <c r="AE22" s="3">
        <v>14</v>
      </c>
      <c r="AF22" s="3" t="s">
        <v>0</v>
      </c>
      <c r="AG22" s="3" t="s">
        <v>49</v>
      </c>
    </row>
    <row r="23" spans="1:33" ht="63.75" x14ac:dyDescent="0.2">
      <c r="A23" s="5" t="str">
        <f>HYPERLINK("http://www.patentics.cn/invokexml.do?sf=ShowPatent&amp;spn=US8885628&amp;sv=5985a359ffb87da69a12538fbd860fdc","US8885628")</f>
        <v>US8885628</v>
      </c>
      <c r="B23" s="3" t="s">
        <v>190</v>
      </c>
      <c r="C23" s="3" t="s">
        <v>191</v>
      </c>
      <c r="D23" s="3" t="s">
        <v>52</v>
      </c>
      <c r="E23" s="3" t="s">
        <v>52</v>
      </c>
      <c r="F23" s="3" t="s">
        <v>192</v>
      </c>
      <c r="G23" s="3" t="s">
        <v>193</v>
      </c>
      <c r="H23" s="3" t="s">
        <v>194</v>
      </c>
      <c r="I23" s="3" t="s">
        <v>195</v>
      </c>
      <c r="J23" s="3" t="s">
        <v>196</v>
      </c>
      <c r="K23" s="3" t="s">
        <v>84</v>
      </c>
      <c r="L23" s="3" t="s">
        <v>114</v>
      </c>
      <c r="M23" s="3" t="s">
        <v>84</v>
      </c>
      <c r="N23" s="3" t="s">
        <v>197</v>
      </c>
      <c r="O23" s="3">
        <v>0</v>
      </c>
      <c r="P23" s="3">
        <v>14</v>
      </c>
      <c r="Q23" s="3" t="s">
        <v>60</v>
      </c>
      <c r="R23" s="3" t="s">
        <v>61</v>
      </c>
      <c r="S23" s="3">
        <v>1108</v>
      </c>
      <c r="T23" s="3">
        <v>252</v>
      </c>
      <c r="U23" s="3">
        <v>856</v>
      </c>
      <c r="V23" s="3">
        <v>192</v>
      </c>
      <c r="W23" s="3">
        <v>14</v>
      </c>
      <c r="X23" s="3" t="s">
        <v>198</v>
      </c>
      <c r="Y23" s="3">
        <v>4</v>
      </c>
      <c r="Z23" s="3">
        <v>10</v>
      </c>
      <c r="AA23" s="3">
        <v>3</v>
      </c>
      <c r="AB23" s="3">
        <v>1</v>
      </c>
      <c r="AC23" s="3">
        <v>14</v>
      </c>
      <c r="AD23" s="3">
        <v>9</v>
      </c>
      <c r="AE23" s="3">
        <v>14</v>
      </c>
      <c r="AF23" s="3" t="s">
        <v>0</v>
      </c>
      <c r="AG23" s="3" t="s">
        <v>49</v>
      </c>
    </row>
    <row r="24" spans="1:33" ht="25.5" x14ac:dyDescent="0.2">
      <c r="A24" s="5" t="str">
        <f>HYPERLINK("http://www.patentics.cn/invokexml.do?sf=ShowPatent&amp;spn=US8917654&amp;sv=7d1841ae8f032b71f7445e2881e97c6e","US8917654")</f>
        <v>US8917654</v>
      </c>
      <c r="B24" s="3" t="s">
        <v>199</v>
      </c>
      <c r="C24" s="3" t="s">
        <v>200</v>
      </c>
      <c r="D24" s="3" t="s">
        <v>52</v>
      </c>
      <c r="E24" s="3" t="s">
        <v>52</v>
      </c>
      <c r="F24" s="3" t="s">
        <v>193</v>
      </c>
      <c r="G24" s="3" t="s">
        <v>193</v>
      </c>
      <c r="H24" s="3" t="s">
        <v>201</v>
      </c>
      <c r="I24" s="3" t="s">
        <v>202</v>
      </c>
      <c r="J24" s="3" t="s">
        <v>203</v>
      </c>
      <c r="K24" s="3" t="s">
        <v>84</v>
      </c>
      <c r="L24" s="3" t="s">
        <v>204</v>
      </c>
      <c r="M24" s="3" t="s">
        <v>84</v>
      </c>
      <c r="N24" s="3" t="s">
        <v>85</v>
      </c>
      <c r="O24" s="3">
        <v>0</v>
      </c>
      <c r="P24" s="3">
        <v>11</v>
      </c>
      <c r="Q24" s="3" t="s">
        <v>60</v>
      </c>
      <c r="R24" s="3" t="s">
        <v>61</v>
      </c>
      <c r="S24" s="3">
        <v>1140</v>
      </c>
      <c r="T24" s="3">
        <v>258</v>
      </c>
      <c r="U24" s="3">
        <v>882</v>
      </c>
      <c r="V24" s="3">
        <v>195</v>
      </c>
      <c r="W24" s="3">
        <v>9</v>
      </c>
      <c r="X24" s="3" t="s">
        <v>147</v>
      </c>
      <c r="Y24" s="3">
        <v>1</v>
      </c>
      <c r="Z24" s="3">
        <v>8</v>
      </c>
      <c r="AA24" s="3">
        <v>1</v>
      </c>
      <c r="AB24" s="3">
        <v>2</v>
      </c>
      <c r="AC24" s="3">
        <v>51</v>
      </c>
      <c r="AD24" s="3">
        <v>14</v>
      </c>
      <c r="AE24" s="3">
        <v>14</v>
      </c>
      <c r="AF24" s="3" t="s">
        <v>0</v>
      </c>
      <c r="AG24" s="3" t="s">
        <v>49</v>
      </c>
    </row>
    <row r="25" spans="1:33" ht="25.5" x14ac:dyDescent="0.2">
      <c r="A25" s="5" t="str">
        <f>HYPERLINK("http://www.patentics.cn/invokexml.do?sf=ShowPatent&amp;spn=US9036538&amp;sv=584cfa081eca28461e2cb239578d29fc","US9036538")</f>
        <v>US9036538</v>
      </c>
      <c r="B25" s="3" t="s">
        <v>205</v>
      </c>
      <c r="C25" s="3" t="s">
        <v>200</v>
      </c>
      <c r="D25" s="3" t="s">
        <v>52</v>
      </c>
      <c r="E25" s="3" t="s">
        <v>52</v>
      </c>
      <c r="F25" s="3" t="s">
        <v>193</v>
      </c>
      <c r="G25" s="3" t="s">
        <v>193</v>
      </c>
      <c r="H25" s="3" t="s">
        <v>201</v>
      </c>
      <c r="I25" s="3" t="s">
        <v>206</v>
      </c>
      <c r="J25" s="3" t="s">
        <v>207</v>
      </c>
      <c r="K25" s="3" t="s">
        <v>82</v>
      </c>
      <c r="L25" s="3" t="s">
        <v>83</v>
      </c>
      <c r="M25" s="3" t="s">
        <v>0</v>
      </c>
      <c r="N25" s="3" t="s">
        <v>0</v>
      </c>
      <c r="O25" s="3">
        <v>0</v>
      </c>
      <c r="P25" s="3">
        <v>14</v>
      </c>
      <c r="Q25" s="3" t="s">
        <v>60</v>
      </c>
      <c r="R25" s="3" t="s">
        <v>61</v>
      </c>
      <c r="S25" s="3">
        <v>1143</v>
      </c>
      <c r="T25" s="3">
        <v>245</v>
      </c>
      <c r="U25" s="3">
        <v>898</v>
      </c>
      <c r="V25" s="3">
        <v>197</v>
      </c>
      <c r="W25" s="3">
        <v>0</v>
      </c>
      <c r="X25" s="3" t="s">
        <v>147</v>
      </c>
      <c r="Y25" s="3">
        <v>0</v>
      </c>
      <c r="Z25" s="3">
        <v>0</v>
      </c>
      <c r="AA25" s="3">
        <v>0</v>
      </c>
      <c r="AB25" s="3">
        <v>0</v>
      </c>
      <c r="AC25" s="3">
        <v>51</v>
      </c>
      <c r="AD25" s="3">
        <v>14</v>
      </c>
      <c r="AE25" s="3">
        <v>14</v>
      </c>
      <c r="AF25" s="3" t="s">
        <v>0</v>
      </c>
      <c r="AG25" s="3" t="s">
        <v>49</v>
      </c>
    </row>
    <row r="26" spans="1:33" ht="89.25" x14ac:dyDescent="0.2">
      <c r="A26" s="5" t="str">
        <f>HYPERLINK("http://www.patentics.cn/invokexml.do?sf=ShowPatent&amp;spn=US9088384&amp;sv=f814b4d46fa71de4928fd3a196b86a37","US9088384")</f>
        <v>US9088384</v>
      </c>
      <c r="B26" s="3" t="s">
        <v>208</v>
      </c>
      <c r="C26" s="3" t="s">
        <v>209</v>
      </c>
      <c r="D26" s="3" t="s">
        <v>52</v>
      </c>
      <c r="E26" s="3" t="s">
        <v>52</v>
      </c>
      <c r="F26" s="3" t="s">
        <v>210</v>
      </c>
      <c r="G26" s="3" t="s">
        <v>54</v>
      </c>
      <c r="H26" s="3" t="s">
        <v>55</v>
      </c>
      <c r="I26" s="3" t="s">
        <v>211</v>
      </c>
      <c r="J26" s="3" t="s">
        <v>212</v>
      </c>
      <c r="K26" s="3" t="s">
        <v>213</v>
      </c>
      <c r="L26" s="3" t="s">
        <v>214</v>
      </c>
      <c r="M26" s="3" t="s">
        <v>0</v>
      </c>
      <c r="N26" s="3" t="s">
        <v>0</v>
      </c>
      <c r="O26" s="3">
        <v>0</v>
      </c>
      <c r="P26" s="3">
        <v>9</v>
      </c>
      <c r="Q26" s="3" t="s">
        <v>60</v>
      </c>
      <c r="R26" s="3" t="s">
        <v>61</v>
      </c>
      <c r="S26" s="3">
        <v>1119</v>
      </c>
      <c r="T26" s="3">
        <v>248</v>
      </c>
      <c r="U26" s="3">
        <v>871</v>
      </c>
      <c r="V26" s="3">
        <v>193</v>
      </c>
      <c r="W26" s="3">
        <v>0</v>
      </c>
      <c r="X26" s="3" t="s">
        <v>147</v>
      </c>
      <c r="Y26" s="3">
        <v>0</v>
      </c>
      <c r="Z26" s="3">
        <v>0</v>
      </c>
      <c r="AA26" s="3">
        <v>0</v>
      </c>
      <c r="AB26" s="3">
        <v>0</v>
      </c>
      <c r="AC26" s="3">
        <v>23</v>
      </c>
      <c r="AD26" s="3">
        <v>15</v>
      </c>
      <c r="AE26" s="3">
        <v>14</v>
      </c>
      <c r="AF26" s="3" t="s">
        <v>0</v>
      </c>
      <c r="AG26" s="3" t="s">
        <v>49</v>
      </c>
    </row>
    <row r="27" spans="1:33" ht="38.25" x14ac:dyDescent="0.2">
      <c r="A27" s="5" t="str">
        <f>HYPERLINK("http://www.patentics.cn/invokexml.do?sf=ShowPatent&amp;spn=US9130810&amp;sv=d15d0cabbe1ef48d97312fc9147eb1e3","US9130810")</f>
        <v>US9130810</v>
      </c>
      <c r="B27" s="3" t="s">
        <v>215</v>
      </c>
      <c r="C27" s="3" t="s">
        <v>216</v>
      </c>
      <c r="D27" s="3" t="s">
        <v>52</v>
      </c>
      <c r="E27" s="3" t="s">
        <v>52</v>
      </c>
      <c r="F27" s="3" t="s">
        <v>217</v>
      </c>
      <c r="G27" s="3" t="s">
        <v>66</v>
      </c>
      <c r="H27" s="3" t="s">
        <v>67</v>
      </c>
      <c r="I27" s="3" t="s">
        <v>218</v>
      </c>
      <c r="J27" s="3" t="s">
        <v>219</v>
      </c>
      <c r="K27" s="3" t="s">
        <v>70</v>
      </c>
      <c r="L27" s="3" t="s">
        <v>71</v>
      </c>
      <c r="M27" s="3" t="s">
        <v>0</v>
      </c>
      <c r="N27" s="3" t="s">
        <v>0</v>
      </c>
      <c r="O27" s="3">
        <v>0</v>
      </c>
      <c r="P27" s="3">
        <v>15</v>
      </c>
      <c r="Q27" s="3" t="s">
        <v>60</v>
      </c>
      <c r="R27" s="3" t="s">
        <v>61</v>
      </c>
      <c r="S27" s="3">
        <v>1118</v>
      </c>
      <c r="T27" s="3">
        <v>242</v>
      </c>
      <c r="U27" s="3">
        <v>876</v>
      </c>
      <c r="V27" s="3">
        <v>195</v>
      </c>
      <c r="W27" s="3">
        <v>2</v>
      </c>
      <c r="X27" s="3" t="s">
        <v>147</v>
      </c>
      <c r="Y27" s="3">
        <v>0</v>
      </c>
      <c r="Z27" s="3">
        <v>2</v>
      </c>
      <c r="AA27" s="3">
        <v>1</v>
      </c>
      <c r="AB27" s="3">
        <v>1</v>
      </c>
      <c r="AC27" s="3">
        <v>69</v>
      </c>
      <c r="AD27" s="3">
        <v>9</v>
      </c>
      <c r="AE27" s="3">
        <v>14</v>
      </c>
      <c r="AF27" s="3" t="s">
        <v>0</v>
      </c>
      <c r="AG27" s="3" t="s">
        <v>49</v>
      </c>
    </row>
    <row r="28" spans="1:33" ht="127.5" x14ac:dyDescent="0.2">
      <c r="A28" s="5" t="str">
        <f>HYPERLINK("http://www.patentics.cn/invokexml.do?sf=ShowPatent&amp;spn=US9136974&amp;sv=85eb001ad3635f01ed7bd665eb6d8061","US9136974")</f>
        <v>US9136974</v>
      </c>
      <c r="B28" s="3" t="s">
        <v>220</v>
      </c>
      <c r="C28" s="3" t="s">
        <v>221</v>
      </c>
      <c r="D28" s="3" t="s">
        <v>52</v>
      </c>
      <c r="E28" s="3" t="s">
        <v>52</v>
      </c>
      <c r="F28" s="3" t="s">
        <v>222</v>
      </c>
      <c r="G28" s="3" t="s">
        <v>112</v>
      </c>
      <c r="H28" s="3" t="s">
        <v>223</v>
      </c>
      <c r="I28" s="3" t="s">
        <v>224</v>
      </c>
      <c r="J28" s="3" t="s">
        <v>225</v>
      </c>
      <c r="K28" s="3" t="s">
        <v>82</v>
      </c>
      <c r="L28" s="3" t="s">
        <v>226</v>
      </c>
      <c r="M28" s="3" t="s">
        <v>58</v>
      </c>
      <c r="N28" s="3" t="s">
        <v>227</v>
      </c>
      <c r="O28" s="3">
        <v>0</v>
      </c>
      <c r="P28" s="3">
        <v>12</v>
      </c>
      <c r="Q28" s="3" t="s">
        <v>60</v>
      </c>
      <c r="R28" s="3" t="s">
        <v>61</v>
      </c>
      <c r="S28" s="3">
        <v>1120</v>
      </c>
      <c r="T28" s="3">
        <v>250</v>
      </c>
      <c r="U28" s="3">
        <v>870</v>
      </c>
      <c r="V28" s="3">
        <v>194</v>
      </c>
      <c r="W28" s="3">
        <v>0</v>
      </c>
      <c r="X28" s="3" t="s">
        <v>147</v>
      </c>
      <c r="Y28" s="3">
        <v>0</v>
      </c>
      <c r="Z28" s="3">
        <v>0</v>
      </c>
      <c r="AA28" s="3">
        <v>0</v>
      </c>
      <c r="AB28" s="3">
        <v>0</v>
      </c>
      <c r="AC28" s="3">
        <v>27</v>
      </c>
      <c r="AD28" s="3">
        <v>17</v>
      </c>
      <c r="AE28" s="3">
        <v>14</v>
      </c>
      <c r="AF28" s="3" t="s">
        <v>0</v>
      </c>
      <c r="AG28" s="3" t="s">
        <v>49</v>
      </c>
    </row>
    <row r="29" spans="1:33" ht="76.5" x14ac:dyDescent="0.2">
      <c r="A29" s="5" t="str">
        <f>HYPERLINK("http://www.patentics.cn/invokexml.do?sf=ShowPatent&amp;spn=US9137822&amp;sv=140b2ffde8e061d839e7a80bce67b44b","US9137822")</f>
        <v>US9137822</v>
      </c>
      <c r="B29" s="3" t="s">
        <v>228</v>
      </c>
      <c r="C29" s="3" t="s">
        <v>229</v>
      </c>
      <c r="D29" s="3" t="s">
        <v>52</v>
      </c>
      <c r="E29" s="3" t="s">
        <v>52</v>
      </c>
      <c r="F29" s="3" t="s">
        <v>230</v>
      </c>
      <c r="G29" s="3" t="s">
        <v>231</v>
      </c>
      <c r="H29" s="3" t="s">
        <v>232</v>
      </c>
      <c r="I29" s="3" t="s">
        <v>233</v>
      </c>
      <c r="J29" s="3" t="s">
        <v>225</v>
      </c>
      <c r="K29" s="3" t="s">
        <v>84</v>
      </c>
      <c r="L29" s="3" t="s">
        <v>234</v>
      </c>
      <c r="M29" s="3" t="s">
        <v>82</v>
      </c>
      <c r="N29" s="3" t="s">
        <v>235</v>
      </c>
      <c r="O29" s="3">
        <v>0</v>
      </c>
      <c r="P29" s="3">
        <v>16</v>
      </c>
      <c r="Q29" s="3" t="s">
        <v>60</v>
      </c>
      <c r="R29" s="3" t="s">
        <v>61</v>
      </c>
      <c r="S29" s="3">
        <v>1030</v>
      </c>
      <c r="T29" s="3">
        <v>233</v>
      </c>
      <c r="U29" s="3">
        <v>797</v>
      </c>
      <c r="V29" s="3">
        <v>185</v>
      </c>
      <c r="W29" s="3">
        <v>0</v>
      </c>
      <c r="X29" s="3" t="s">
        <v>147</v>
      </c>
      <c r="Y29" s="3">
        <v>0</v>
      </c>
      <c r="Z29" s="3">
        <v>0</v>
      </c>
      <c r="AA29" s="3">
        <v>0</v>
      </c>
      <c r="AB29" s="3">
        <v>0</v>
      </c>
      <c r="AC29" s="3">
        <v>48</v>
      </c>
      <c r="AD29" s="3">
        <v>20</v>
      </c>
      <c r="AE29" s="3">
        <v>14</v>
      </c>
      <c r="AF29" s="3" t="s">
        <v>0</v>
      </c>
      <c r="AG29" s="3" t="s">
        <v>49</v>
      </c>
    </row>
    <row r="30" spans="1:33" ht="114.75" x14ac:dyDescent="0.2">
      <c r="A30" s="5" t="str">
        <f>HYPERLINK("http://www.patentics.cn/invokexml.do?sf=ShowPatent&amp;spn=US9143305&amp;sv=d89782f0a70330756693fa350099cbbe","US9143305")</f>
        <v>US9143305</v>
      </c>
      <c r="B30" s="3" t="s">
        <v>236</v>
      </c>
      <c r="C30" s="3" t="s">
        <v>237</v>
      </c>
      <c r="D30" s="3" t="s">
        <v>52</v>
      </c>
      <c r="E30" s="3" t="s">
        <v>52</v>
      </c>
      <c r="F30" s="3" t="s">
        <v>238</v>
      </c>
      <c r="G30" s="3" t="s">
        <v>112</v>
      </c>
      <c r="H30" s="3" t="s">
        <v>239</v>
      </c>
      <c r="I30" s="3" t="s">
        <v>239</v>
      </c>
      <c r="J30" s="3" t="s">
        <v>240</v>
      </c>
      <c r="K30" s="3" t="s">
        <v>70</v>
      </c>
      <c r="L30" s="3" t="s">
        <v>71</v>
      </c>
      <c r="M30" s="3" t="s">
        <v>58</v>
      </c>
      <c r="N30" s="3" t="s">
        <v>59</v>
      </c>
      <c r="O30" s="3">
        <v>0</v>
      </c>
      <c r="P30" s="3">
        <v>23</v>
      </c>
      <c r="Q30" s="3" t="s">
        <v>60</v>
      </c>
      <c r="R30" s="3" t="s">
        <v>61</v>
      </c>
      <c r="S30" s="3">
        <v>1128</v>
      </c>
      <c r="T30" s="3">
        <v>252</v>
      </c>
      <c r="U30" s="3">
        <v>876</v>
      </c>
      <c r="V30" s="3">
        <v>194</v>
      </c>
      <c r="W30" s="3">
        <v>1</v>
      </c>
      <c r="X30" s="3" t="s">
        <v>147</v>
      </c>
      <c r="Y30" s="3">
        <v>1</v>
      </c>
      <c r="Z30" s="3">
        <v>0</v>
      </c>
      <c r="AA30" s="3">
        <v>1</v>
      </c>
      <c r="AB30" s="3">
        <v>1</v>
      </c>
      <c r="AC30" s="3">
        <v>44</v>
      </c>
      <c r="AD30" s="3">
        <v>16</v>
      </c>
      <c r="AE30" s="3">
        <v>14</v>
      </c>
      <c r="AF30" s="3" t="s">
        <v>0</v>
      </c>
      <c r="AG30" s="3" t="s">
        <v>49</v>
      </c>
    </row>
    <row r="31" spans="1:33" ht="51" x14ac:dyDescent="0.2">
      <c r="A31" s="5" t="str">
        <f>HYPERLINK("http://www.patentics.cn/invokexml.do?sf=ShowPatent&amp;spn=US9144060&amp;sv=8c29e05d6d5d33684f380d7169517658","US9144060")</f>
        <v>US9144060</v>
      </c>
      <c r="B31" s="3" t="s">
        <v>241</v>
      </c>
      <c r="C31" s="3" t="s">
        <v>242</v>
      </c>
      <c r="D31" s="3" t="s">
        <v>52</v>
      </c>
      <c r="E31" s="3" t="s">
        <v>52</v>
      </c>
      <c r="F31" s="3" t="s">
        <v>243</v>
      </c>
      <c r="G31" s="3" t="s">
        <v>54</v>
      </c>
      <c r="H31" s="3" t="s">
        <v>55</v>
      </c>
      <c r="I31" s="3" t="s">
        <v>143</v>
      </c>
      <c r="J31" s="3" t="s">
        <v>240</v>
      </c>
      <c r="K31" s="3" t="s">
        <v>82</v>
      </c>
      <c r="L31" s="3" t="s">
        <v>244</v>
      </c>
      <c r="M31" s="3" t="s">
        <v>82</v>
      </c>
      <c r="N31" s="3" t="s">
        <v>245</v>
      </c>
      <c r="O31" s="3">
        <v>0</v>
      </c>
      <c r="P31" s="3">
        <v>21</v>
      </c>
      <c r="Q31" s="3" t="s">
        <v>60</v>
      </c>
      <c r="R31" s="3" t="s">
        <v>61</v>
      </c>
      <c r="S31" s="3">
        <v>1132</v>
      </c>
      <c r="T31" s="3">
        <v>254</v>
      </c>
      <c r="U31" s="3">
        <v>878</v>
      </c>
      <c r="V31" s="3">
        <v>196</v>
      </c>
      <c r="W31" s="3">
        <v>0</v>
      </c>
      <c r="X31" s="3" t="s">
        <v>147</v>
      </c>
      <c r="Y31" s="3">
        <v>0</v>
      </c>
      <c r="Z31" s="3">
        <v>0</v>
      </c>
      <c r="AA31" s="3">
        <v>0</v>
      </c>
      <c r="AB31" s="3">
        <v>0</v>
      </c>
      <c r="AC31" s="3">
        <v>52</v>
      </c>
      <c r="AD31" s="3">
        <v>18</v>
      </c>
      <c r="AE31" s="3">
        <v>14</v>
      </c>
      <c r="AF31" s="3" t="s">
        <v>0</v>
      </c>
      <c r="AG31" s="3" t="s">
        <v>49</v>
      </c>
    </row>
    <row r="32" spans="1:33" ht="51" x14ac:dyDescent="0.2">
      <c r="A32" s="5" t="str">
        <f>HYPERLINK("http://www.patentics.cn/invokexml.do?sf=ShowPatent&amp;spn=US9148256&amp;sv=33226b7393bc9b85817bbf11d164b685","US9148256")</f>
        <v>US9148256</v>
      </c>
      <c r="B32" s="3" t="s">
        <v>246</v>
      </c>
      <c r="C32" s="3" t="s">
        <v>247</v>
      </c>
      <c r="D32" s="3" t="s">
        <v>52</v>
      </c>
      <c r="E32" s="3" t="s">
        <v>52</v>
      </c>
      <c r="F32" s="3" t="s">
        <v>89</v>
      </c>
      <c r="G32" s="3" t="s">
        <v>90</v>
      </c>
      <c r="H32" s="3" t="s">
        <v>233</v>
      </c>
      <c r="I32" s="3" t="s">
        <v>233</v>
      </c>
      <c r="J32" s="3" t="s">
        <v>248</v>
      </c>
      <c r="K32" s="3" t="s">
        <v>58</v>
      </c>
      <c r="L32" s="3" t="s">
        <v>249</v>
      </c>
      <c r="M32" s="3" t="s">
        <v>58</v>
      </c>
      <c r="N32" s="3" t="s">
        <v>250</v>
      </c>
      <c r="O32" s="3">
        <v>0</v>
      </c>
      <c r="P32" s="3">
        <v>17</v>
      </c>
      <c r="Q32" s="3" t="s">
        <v>60</v>
      </c>
      <c r="R32" s="3" t="s">
        <v>61</v>
      </c>
      <c r="S32" s="3">
        <v>1056</v>
      </c>
      <c r="T32" s="3">
        <v>237</v>
      </c>
      <c r="U32" s="3">
        <v>819</v>
      </c>
      <c r="V32" s="3">
        <v>190</v>
      </c>
      <c r="W32" s="3">
        <v>0</v>
      </c>
      <c r="X32" s="3" t="s">
        <v>147</v>
      </c>
      <c r="Y32" s="3">
        <v>0</v>
      </c>
      <c r="Z32" s="3">
        <v>0</v>
      </c>
      <c r="AA32" s="3">
        <v>0</v>
      </c>
      <c r="AB32" s="3">
        <v>0</v>
      </c>
      <c r="AC32" s="3">
        <v>39</v>
      </c>
      <c r="AD32" s="3">
        <v>17</v>
      </c>
      <c r="AE32" s="3">
        <v>14</v>
      </c>
      <c r="AF32" s="3" t="s">
        <v>0</v>
      </c>
      <c r="AG32" s="3" t="s">
        <v>49</v>
      </c>
    </row>
    <row r="33" spans="1:33" ht="127.5" x14ac:dyDescent="0.2">
      <c r="A33" s="5" t="str">
        <f>HYPERLINK("http://www.patentics.cn/invokexml.do?sf=ShowPatent&amp;spn=US9154211&amp;sv=f0ffc8ad0baadd5591d9f2c408909400","US9154211")</f>
        <v>US9154211</v>
      </c>
      <c r="B33" s="3" t="s">
        <v>251</v>
      </c>
      <c r="C33" s="3" t="s">
        <v>252</v>
      </c>
      <c r="D33" s="3" t="s">
        <v>52</v>
      </c>
      <c r="E33" s="3" t="s">
        <v>52</v>
      </c>
      <c r="F33" s="3" t="s">
        <v>253</v>
      </c>
      <c r="G33" s="3" t="s">
        <v>90</v>
      </c>
      <c r="H33" s="3" t="s">
        <v>254</v>
      </c>
      <c r="I33" s="3" t="s">
        <v>255</v>
      </c>
      <c r="J33" s="3" t="s">
        <v>256</v>
      </c>
      <c r="K33" s="3" t="s">
        <v>58</v>
      </c>
      <c r="L33" s="3" t="s">
        <v>257</v>
      </c>
      <c r="M33" s="3" t="s">
        <v>84</v>
      </c>
      <c r="N33" s="3" t="s">
        <v>258</v>
      </c>
      <c r="O33" s="3">
        <v>0</v>
      </c>
      <c r="P33" s="3">
        <v>16</v>
      </c>
      <c r="Q33" s="3" t="s">
        <v>60</v>
      </c>
      <c r="R33" s="3" t="s">
        <v>61</v>
      </c>
      <c r="S33" s="3">
        <v>1119</v>
      </c>
      <c r="T33" s="3">
        <v>250</v>
      </c>
      <c r="U33" s="3">
        <v>869</v>
      </c>
      <c r="V33" s="3">
        <v>192</v>
      </c>
      <c r="W33" s="3">
        <v>14</v>
      </c>
      <c r="X33" s="3" t="s">
        <v>147</v>
      </c>
      <c r="Y33" s="3">
        <v>0</v>
      </c>
      <c r="Z33" s="3">
        <v>14</v>
      </c>
      <c r="AA33" s="3">
        <v>0</v>
      </c>
      <c r="AB33" s="3">
        <v>1</v>
      </c>
      <c r="AC33" s="3">
        <v>27</v>
      </c>
      <c r="AD33" s="3">
        <v>15</v>
      </c>
      <c r="AE33" s="3">
        <v>14</v>
      </c>
      <c r="AF33" s="3" t="s">
        <v>0</v>
      </c>
      <c r="AG33" s="3" t="s">
        <v>49</v>
      </c>
    </row>
    <row r="34" spans="1:33" ht="89.25" x14ac:dyDescent="0.2">
      <c r="A34" s="5" t="str">
        <f>HYPERLINK("http://www.patentics.cn/invokexml.do?sf=ShowPatent&amp;spn=US9172453&amp;sv=9656e7b7eb455db6f3102f6b49e88d5b","US9172453")</f>
        <v>US9172453</v>
      </c>
      <c r="B34" s="3" t="s">
        <v>259</v>
      </c>
      <c r="C34" s="3" t="s">
        <v>260</v>
      </c>
      <c r="D34" s="3" t="s">
        <v>52</v>
      </c>
      <c r="E34" s="3" t="s">
        <v>52</v>
      </c>
      <c r="F34" s="3" t="s">
        <v>261</v>
      </c>
      <c r="G34" s="3" t="s">
        <v>262</v>
      </c>
      <c r="H34" s="3" t="s">
        <v>55</v>
      </c>
      <c r="I34" s="3" t="s">
        <v>55</v>
      </c>
      <c r="J34" s="3" t="s">
        <v>263</v>
      </c>
      <c r="K34" s="3" t="s">
        <v>70</v>
      </c>
      <c r="L34" s="3" t="s">
        <v>264</v>
      </c>
      <c r="M34" s="3" t="s">
        <v>84</v>
      </c>
      <c r="N34" s="3" t="s">
        <v>265</v>
      </c>
      <c r="O34" s="3">
        <v>0</v>
      </c>
      <c r="P34" s="3">
        <v>7</v>
      </c>
      <c r="Q34" s="3" t="s">
        <v>60</v>
      </c>
      <c r="R34" s="3" t="s">
        <v>61</v>
      </c>
      <c r="S34" s="3">
        <v>1128</v>
      </c>
      <c r="T34" s="3">
        <v>253</v>
      </c>
      <c r="U34" s="3">
        <v>875</v>
      </c>
      <c r="V34" s="3">
        <v>196</v>
      </c>
      <c r="W34" s="3">
        <v>0</v>
      </c>
      <c r="X34" s="3" t="s">
        <v>147</v>
      </c>
      <c r="Y34" s="3">
        <v>0</v>
      </c>
      <c r="Z34" s="3">
        <v>0</v>
      </c>
      <c r="AA34" s="3">
        <v>0</v>
      </c>
      <c r="AB34" s="3">
        <v>0</v>
      </c>
      <c r="AC34" s="3">
        <v>20</v>
      </c>
      <c r="AD34" s="3">
        <v>15</v>
      </c>
      <c r="AE34" s="3">
        <v>14</v>
      </c>
      <c r="AF34" s="3" t="s">
        <v>0</v>
      </c>
      <c r="AG34" s="3" t="s">
        <v>49</v>
      </c>
    </row>
    <row r="35" spans="1:33" ht="140.25" x14ac:dyDescent="0.2">
      <c r="A35" s="5" t="str">
        <f>HYPERLINK("http://www.patentics.cn/invokexml.do?sf=ShowPatent&amp;spn=US9179319&amp;sv=f4706c10d1134eeb6e4bdf1ca1c83070","US9179319")</f>
        <v>US9179319</v>
      </c>
      <c r="B35" s="3" t="s">
        <v>266</v>
      </c>
      <c r="C35" s="3" t="s">
        <v>267</v>
      </c>
      <c r="D35" s="3" t="s">
        <v>52</v>
      </c>
      <c r="E35" s="3" t="s">
        <v>52</v>
      </c>
      <c r="F35" s="3" t="s">
        <v>268</v>
      </c>
      <c r="G35" s="3" t="s">
        <v>124</v>
      </c>
      <c r="H35" s="3" t="s">
        <v>132</v>
      </c>
      <c r="I35" s="3" t="s">
        <v>55</v>
      </c>
      <c r="J35" s="3" t="s">
        <v>269</v>
      </c>
      <c r="K35" s="3" t="s">
        <v>270</v>
      </c>
      <c r="L35" s="3" t="s">
        <v>271</v>
      </c>
      <c r="M35" s="3" t="s">
        <v>82</v>
      </c>
      <c r="N35" s="3" t="s">
        <v>272</v>
      </c>
      <c r="O35" s="3">
        <v>0</v>
      </c>
      <c r="P35" s="3">
        <v>18</v>
      </c>
      <c r="Q35" s="3" t="s">
        <v>60</v>
      </c>
      <c r="R35" s="3" t="s">
        <v>61</v>
      </c>
      <c r="S35" s="3">
        <v>1113</v>
      </c>
      <c r="T35" s="3">
        <v>244</v>
      </c>
      <c r="U35" s="3">
        <v>869</v>
      </c>
      <c r="V35" s="3">
        <v>191</v>
      </c>
      <c r="W35" s="3">
        <v>0</v>
      </c>
      <c r="X35" s="3" t="s">
        <v>147</v>
      </c>
      <c r="Y35" s="3">
        <v>0</v>
      </c>
      <c r="Z35" s="3">
        <v>0</v>
      </c>
      <c r="AA35" s="3">
        <v>0</v>
      </c>
      <c r="AB35" s="3">
        <v>0</v>
      </c>
      <c r="AC35" s="3">
        <v>15</v>
      </c>
      <c r="AD35" s="3">
        <v>8</v>
      </c>
      <c r="AE35" s="3">
        <v>14</v>
      </c>
      <c r="AF35" s="3" t="s">
        <v>0</v>
      </c>
      <c r="AG35" s="3" t="s">
        <v>49</v>
      </c>
    </row>
    <row r="36" spans="1:33" ht="191.25" x14ac:dyDescent="0.2">
      <c r="A36" s="5" t="str">
        <f>HYPERLINK("http://www.patentics.cn/invokexml.do?sf=ShowPatent&amp;spn=US9184870&amp;sv=db072ea5fa2f90df8418892a71e07d59","US9184870")</f>
        <v>US9184870</v>
      </c>
      <c r="B36" s="3" t="s">
        <v>273</v>
      </c>
      <c r="C36" s="3" t="s">
        <v>274</v>
      </c>
      <c r="D36" s="3" t="s">
        <v>52</v>
      </c>
      <c r="E36" s="3" t="s">
        <v>52</v>
      </c>
      <c r="F36" s="3" t="s">
        <v>275</v>
      </c>
      <c r="G36" s="3" t="s">
        <v>90</v>
      </c>
      <c r="H36" s="3" t="s">
        <v>276</v>
      </c>
      <c r="I36" s="3" t="s">
        <v>55</v>
      </c>
      <c r="J36" s="3" t="s">
        <v>277</v>
      </c>
      <c r="K36" s="3" t="s">
        <v>84</v>
      </c>
      <c r="L36" s="3" t="s">
        <v>278</v>
      </c>
      <c r="M36" s="3" t="s">
        <v>58</v>
      </c>
      <c r="N36" s="3" t="s">
        <v>279</v>
      </c>
      <c r="O36" s="3">
        <v>0</v>
      </c>
      <c r="P36" s="3">
        <v>18</v>
      </c>
      <c r="Q36" s="3" t="s">
        <v>60</v>
      </c>
      <c r="R36" s="3" t="s">
        <v>61</v>
      </c>
      <c r="S36" s="3">
        <v>1054</v>
      </c>
      <c r="T36" s="3">
        <v>235</v>
      </c>
      <c r="U36" s="3">
        <v>819</v>
      </c>
      <c r="V36" s="3">
        <v>188</v>
      </c>
      <c r="W36" s="3">
        <v>14</v>
      </c>
      <c r="X36" s="3" t="s">
        <v>147</v>
      </c>
      <c r="Y36" s="3">
        <v>0</v>
      </c>
      <c r="Z36" s="3">
        <v>14</v>
      </c>
      <c r="AA36" s="3">
        <v>0</v>
      </c>
      <c r="AB36" s="3">
        <v>1</v>
      </c>
      <c r="AC36" s="3">
        <v>32</v>
      </c>
      <c r="AD36" s="3">
        <v>19</v>
      </c>
      <c r="AE36" s="3">
        <v>14</v>
      </c>
      <c r="AF36" s="3" t="s">
        <v>0</v>
      </c>
      <c r="AG36" s="3" t="s">
        <v>49</v>
      </c>
    </row>
    <row r="37" spans="1:33" ht="38.25" x14ac:dyDescent="0.2">
      <c r="A37" s="5" t="str">
        <f>HYPERLINK("http://www.patentics.cn/invokexml.do?sf=ShowPatent&amp;spn=US9209956&amp;sv=dabc5b183710a80969c4fe5d2c6d4be8","US9209956")</f>
        <v>US9209956</v>
      </c>
      <c r="B37" s="3" t="s">
        <v>280</v>
      </c>
      <c r="C37" s="3" t="s">
        <v>281</v>
      </c>
      <c r="D37" s="3" t="s">
        <v>52</v>
      </c>
      <c r="E37" s="3" t="s">
        <v>52</v>
      </c>
      <c r="F37" s="3" t="s">
        <v>282</v>
      </c>
      <c r="G37" s="3" t="s">
        <v>112</v>
      </c>
      <c r="H37" s="3" t="s">
        <v>206</v>
      </c>
      <c r="I37" s="3" t="s">
        <v>55</v>
      </c>
      <c r="J37" s="3" t="s">
        <v>283</v>
      </c>
      <c r="K37" s="3" t="s">
        <v>70</v>
      </c>
      <c r="L37" s="3" t="s">
        <v>264</v>
      </c>
      <c r="M37" s="3" t="s">
        <v>58</v>
      </c>
      <c r="N37" s="3" t="s">
        <v>284</v>
      </c>
      <c r="O37" s="3">
        <v>0</v>
      </c>
      <c r="P37" s="3">
        <v>0</v>
      </c>
      <c r="Q37" s="3" t="s">
        <v>60</v>
      </c>
      <c r="R37" s="3" t="s">
        <v>61</v>
      </c>
      <c r="S37" s="3">
        <v>1122</v>
      </c>
      <c r="T37" s="3">
        <v>247</v>
      </c>
      <c r="U37" s="3">
        <v>875</v>
      </c>
      <c r="V37" s="3">
        <v>194</v>
      </c>
      <c r="W37" s="3">
        <v>0</v>
      </c>
      <c r="X37" s="3" t="s">
        <v>147</v>
      </c>
      <c r="Y37" s="3">
        <v>0</v>
      </c>
      <c r="Z37" s="3">
        <v>0</v>
      </c>
      <c r="AA37" s="3">
        <v>0</v>
      </c>
      <c r="AB37" s="3">
        <v>0</v>
      </c>
      <c r="AC37" s="3">
        <v>15</v>
      </c>
      <c r="AD37" s="3">
        <v>8</v>
      </c>
      <c r="AE37" s="3">
        <v>14</v>
      </c>
      <c r="AF37" s="3" t="s">
        <v>0</v>
      </c>
      <c r="AG37" s="3" t="s">
        <v>49</v>
      </c>
    </row>
    <row r="38" spans="1:33" ht="114.75" x14ac:dyDescent="0.2">
      <c r="A38" s="5" t="str">
        <f>HYPERLINK("http://www.patentics.cn/invokexml.do?sf=ShowPatent&amp;spn=US9210651&amp;sv=5a728f0f537d61e18be57753992e0c44","US9210651")</f>
        <v>US9210651</v>
      </c>
      <c r="B38" s="3" t="s">
        <v>285</v>
      </c>
      <c r="C38" s="3" t="s">
        <v>286</v>
      </c>
      <c r="D38" s="3" t="s">
        <v>52</v>
      </c>
      <c r="E38" s="3" t="s">
        <v>52</v>
      </c>
      <c r="F38" s="3" t="s">
        <v>287</v>
      </c>
      <c r="G38" s="3" t="s">
        <v>288</v>
      </c>
      <c r="H38" s="3" t="s">
        <v>55</v>
      </c>
      <c r="I38" s="3" t="s">
        <v>55</v>
      </c>
      <c r="J38" s="3" t="s">
        <v>283</v>
      </c>
      <c r="K38" s="3" t="s">
        <v>58</v>
      </c>
      <c r="L38" s="3" t="s">
        <v>289</v>
      </c>
      <c r="M38" s="3" t="s">
        <v>82</v>
      </c>
      <c r="N38" s="3" t="s">
        <v>290</v>
      </c>
      <c r="O38" s="3">
        <v>0</v>
      </c>
      <c r="P38" s="3">
        <v>0</v>
      </c>
      <c r="Q38" s="3" t="s">
        <v>60</v>
      </c>
      <c r="R38" s="3" t="s">
        <v>61</v>
      </c>
      <c r="S38" s="3">
        <v>1119</v>
      </c>
      <c r="T38" s="3">
        <v>248</v>
      </c>
      <c r="U38" s="3">
        <v>871</v>
      </c>
      <c r="V38" s="3">
        <v>196</v>
      </c>
      <c r="W38" s="3">
        <v>1</v>
      </c>
      <c r="X38" s="3" t="s">
        <v>147</v>
      </c>
      <c r="Y38" s="3">
        <v>0</v>
      </c>
      <c r="Z38" s="3">
        <v>1</v>
      </c>
      <c r="AA38" s="3">
        <v>1</v>
      </c>
      <c r="AB38" s="3">
        <v>1</v>
      </c>
      <c r="AC38" s="3">
        <v>22</v>
      </c>
      <c r="AD38" s="3">
        <v>13</v>
      </c>
      <c r="AE38" s="3">
        <v>14</v>
      </c>
      <c r="AF38" s="3" t="s">
        <v>0</v>
      </c>
      <c r="AG38" s="3" t="s">
        <v>49</v>
      </c>
    </row>
    <row r="39" spans="1:33" ht="114.75" x14ac:dyDescent="0.2">
      <c r="A39" s="5" t="str">
        <f>HYPERLINK("http://www.patentics.cn/invokexml.do?sf=ShowPatent&amp;spn=US9225416&amp;sv=7bc0a10405e6093ca4105b0da4580319","US9225416")</f>
        <v>US9225416</v>
      </c>
      <c r="B39" s="3" t="s">
        <v>291</v>
      </c>
      <c r="C39" s="3" t="s">
        <v>292</v>
      </c>
      <c r="D39" s="3" t="s">
        <v>52</v>
      </c>
      <c r="E39" s="3" t="s">
        <v>52</v>
      </c>
      <c r="F39" s="3" t="s">
        <v>293</v>
      </c>
      <c r="G39" s="3" t="s">
        <v>112</v>
      </c>
      <c r="H39" s="3" t="s">
        <v>55</v>
      </c>
      <c r="I39" s="3" t="s">
        <v>55</v>
      </c>
      <c r="J39" s="3" t="s">
        <v>294</v>
      </c>
      <c r="K39" s="3" t="s">
        <v>70</v>
      </c>
      <c r="L39" s="3" t="s">
        <v>71</v>
      </c>
      <c r="M39" s="3" t="s">
        <v>84</v>
      </c>
      <c r="N39" s="3" t="s">
        <v>295</v>
      </c>
      <c r="O39" s="3">
        <v>0</v>
      </c>
      <c r="P39" s="3">
        <v>10</v>
      </c>
      <c r="Q39" s="3" t="s">
        <v>60</v>
      </c>
      <c r="R39" s="3" t="s">
        <v>61</v>
      </c>
      <c r="S39" s="3">
        <v>1081</v>
      </c>
      <c r="T39" s="3">
        <v>236</v>
      </c>
      <c r="U39" s="3">
        <v>845</v>
      </c>
      <c r="V39" s="3">
        <v>193</v>
      </c>
      <c r="W39" s="3">
        <v>0</v>
      </c>
      <c r="X39" s="3" t="s">
        <v>147</v>
      </c>
      <c r="Y39" s="3">
        <v>0</v>
      </c>
      <c r="Z39" s="3">
        <v>0</v>
      </c>
      <c r="AA39" s="3">
        <v>0</v>
      </c>
      <c r="AB39" s="3">
        <v>0</v>
      </c>
      <c r="AC39" s="3">
        <v>25</v>
      </c>
      <c r="AD39" s="3">
        <v>15</v>
      </c>
      <c r="AE39" s="3">
        <v>14</v>
      </c>
      <c r="AF39" s="3" t="s">
        <v>0</v>
      </c>
      <c r="AG39" s="3" t="s">
        <v>49</v>
      </c>
    </row>
    <row r="40" spans="1:33" ht="127.5" x14ac:dyDescent="0.2">
      <c r="A40" s="5" t="str">
        <f>HYPERLINK("http://www.patentics.cn/invokexml.do?sf=ShowPatent&amp;spn=US9225488&amp;sv=ca12ebcb7efe460858f3ce934ba3e9a1","US9225488")</f>
        <v>US9225488</v>
      </c>
      <c r="B40" s="3" t="s">
        <v>296</v>
      </c>
      <c r="C40" s="3" t="s">
        <v>297</v>
      </c>
      <c r="D40" s="3" t="s">
        <v>52</v>
      </c>
      <c r="E40" s="3" t="s">
        <v>52</v>
      </c>
      <c r="F40" s="3" t="s">
        <v>298</v>
      </c>
      <c r="G40" s="3" t="s">
        <v>54</v>
      </c>
      <c r="H40" s="3" t="s">
        <v>55</v>
      </c>
      <c r="I40" s="3" t="s">
        <v>55</v>
      </c>
      <c r="J40" s="3" t="s">
        <v>294</v>
      </c>
      <c r="K40" s="3" t="s">
        <v>70</v>
      </c>
      <c r="L40" s="3" t="s">
        <v>264</v>
      </c>
      <c r="M40" s="3" t="s">
        <v>58</v>
      </c>
      <c r="N40" s="3" t="s">
        <v>146</v>
      </c>
      <c r="O40" s="3">
        <v>0</v>
      </c>
      <c r="P40" s="3">
        <v>15</v>
      </c>
      <c r="Q40" s="3" t="s">
        <v>60</v>
      </c>
      <c r="R40" s="3" t="s">
        <v>61</v>
      </c>
      <c r="S40" s="3">
        <v>1129</v>
      </c>
      <c r="T40" s="3">
        <v>255</v>
      </c>
      <c r="U40" s="3">
        <v>874</v>
      </c>
      <c r="V40" s="3">
        <v>195</v>
      </c>
      <c r="W40" s="3">
        <v>0</v>
      </c>
      <c r="X40" s="3" t="s">
        <v>147</v>
      </c>
      <c r="Y40" s="3">
        <v>0</v>
      </c>
      <c r="Z40" s="3">
        <v>0</v>
      </c>
      <c r="AA40" s="3">
        <v>0</v>
      </c>
      <c r="AB40" s="3">
        <v>0</v>
      </c>
      <c r="AC40" s="3">
        <v>52</v>
      </c>
      <c r="AD40" s="3">
        <v>18</v>
      </c>
      <c r="AE40" s="3">
        <v>14</v>
      </c>
      <c r="AF40" s="3" t="s">
        <v>0</v>
      </c>
      <c r="AG40" s="3" t="s">
        <v>49</v>
      </c>
    </row>
    <row r="41" spans="1:33" ht="38.25" x14ac:dyDescent="0.2">
      <c r="A41" s="5" t="str">
        <f>HYPERLINK("http://www.patentics.cn/invokexml.do?sf=ShowPatent&amp;spn=US9240877&amp;sv=0e640918b853e78c5e4c3e664547d86b","US9240877")</f>
        <v>US9240877</v>
      </c>
      <c r="B41" s="3" t="s">
        <v>299</v>
      </c>
      <c r="C41" s="3" t="s">
        <v>281</v>
      </c>
      <c r="D41" s="3" t="s">
        <v>52</v>
      </c>
      <c r="E41" s="3" t="s">
        <v>52</v>
      </c>
      <c r="F41" s="3" t="s">
        <v>300</v>
      </c>
      <c r="G41" s="3" t="s">
        <v>301</v>
      </c>
      <c r="H41" s="3" t="s">
        <v>206</v>
      </c>
      <c r="I41" s="3" t="s">
        <v>302</v>
      </c>
      <c r="J41" s="3" t="s">
        <v>303</v>
      </c>
      <c r="K41" s="3" t="s">
        <v>82</v>
      </c>
      <c r="L41" s="3" t="s">
        <v>83</v>
      </c>
      <c r="M41" s="3" t="s">
        <v>58</v>
      </c>
      <c r="N41" s="3" t="s">
        <v>284</v>
      </c>
      <c r="O41" s="3">
        <v>0</v>
      </c>
      <c r="P41" s="3">
        <v>31</v>
      </c>
      <c r="Q41" s="3" t="s">
        <v>60</v>
      </c>
      <c r="R41" s="3" t="s">
        <v>61</v>
      </c>
      <c r="S41" s="3">
        <v>1124</v>
      </c>
      <c r="T41" s="3">
        <v>247</v>
      </c>
      <c r="U41" s="3">
        <v>877</v>
      </c>
      <c r="V41" s="3">
        <v>197</v>
      </c>
      <c r="W41" s="3">
        <v>1</v>
      </c>
      <c r="X41" s="3" t="s">
        <v>108</v>
      </c>
      <c r="Y41" s="3">
        <v>0</v>
      </c>
      <c r="Z41" s="3">
        <v>1</v>
      </c>
      <c r="AA41" s="3">
        <v>1</v>
      </c>
      <c r="AB41" s="3">
        <v>1</v>
      </c>
      <c r="AC41" s="3">
        <v>15</v>
      </c>
      <c r="AD41" s="3">
        <v>8</v>
      </c>
      <c r="AE41" s="3">
        <v>14</v>
      </c>
      <c r="AF41" s="3" t="s">
        <v>0</v>
      </c>
      <c r="AG41" s="3" t="s">
        <v>49</v>
      </c>
    </row>
    <row r="42" spans="1:33" ht="114.75" x14ac:dyDescent="0.2">
      <c r="A42" s="5" t="str">
        <f>HYPERLINK("http://www.patentics.cn/invokexml.do?sf=ShowPatent&amp;spn=US9246560&amp;sv=096c93bf836482cc6653027ac3c38bbb","US9246560")</f>
        <v>US9246560</v>
      </c>
      <c r="B42" s="3" t="s">
        <v>304</v>
      </c>
      <c r="C42" s="3" t="s">
        <v>305</v>
      </c>
      <c r="D42" s="3" t="s">
        <v>52</v>
      </c>
      <c r="E42" s="3" t="s">
        <v>52</v>
      </c>
      <c r="F42" s="3" t="s">
        <v>306</v>
      </c>
      <c r="G42" s="3" t="s">
        <v>90</v>
      </c>
      <c r="H42" s="3" t="s">
        <v>307</v>
      </c>
      <c r="I42" s="3" t="s">
        <v>308</v>
      </c>
      <c r="J42" s="3" t="s">
        <v>309</v>
      </c>
      <c r="K42" s="3" t="s">
        <v>84</v>
      </c>
      <c r="L42" s="3" t="s">
        <v>310</v>
      </c>
      <c r="M42" s="3" t="s">
        <v>84</v>
      </c>
      <c r="N42" s="3" t="s">
        <v>136</v>
      </c>
      <c r="O42" s="3">
        <v>0</v>
      </c>
      <c r="P42" s="3">
        <v>9</v>
      </c>
      <c r="Q42" s="3" t="s">
        <v>60</v>
      </c>
      <c r="R42" s="3" t="s">
        <v>61</v>
      </c>
      <c r="S42" s="3">
        <v>1128</v>
      </c>
      <c r="T42" s="3">
        <v>252</v>
      </c>
      <c r="U42" s="3">
        <v>876</v>
      </c>
      <c r="V42" s="3">
        <v>195</v>
      </c>
      <c r="W42" s="3">
        <v>0</v>
      </c>
      <c r="X42" s="3" t="s">
        <v>147</v>
      </c>
      <c r="Y42" s="3">
        <v>0</v>
      </c>
      <c r="Z42" s="3">
        <v>0</v>
      </c>
      <c r="AA42" s="3">
        <v>0</v>
      </c>
      <c r="AB42" s="3">
        <v>0</v>
      </c>
      <c r="AC42" s="3">
        <v>51</v>
      </c>
      <c r="AD42" s="3">
        <v>18</v>
      </c>
      <c r="AE42" s="3">
        <v>14</v>
      </c>
      <c r="AF42" s="3" t="s">
        <v>0</v>
      </c>
      <c r="AG42" s="3" t="s">
        <v>49</v>
      </c>
    </row>
    <row r="43" spans="1:33" ht="38.25" x14ac:dyDescent="0.2">
      <c r="A43" s="5" t="str">
        <f>HYPERLINK("http://www.patentics.cn/invokexml.do?sf=ShowPatent&amp;spn=US9246659&amp;sv=551b9e765b5b465fe9c4cfd689d6c97a","US9246659")</f>
        <v>US9246659</v>
      </c>
      <c r="B43" s="3" t="s">
        <v>311</v>
      </c>
      <c r="C43" s="3" t="s">
        <v>281</v>
      </c>
      <c r="D43" s="3" t="s">
        <v>52</v>
      </c>
      <c r="E43" s="3" t="s">
        <v>52</v>
      </c>
      <c r="F43" s="3" t="s">
        <v>300</v>
      </c>
      <c r="G43" s="3" t="s">
        <v>301</v>
      </c>
      <c r="H43" s="3" t="s">
        <v>206</v>
      </c>
      <c r="I43" s="3" t="s">
        <v>302</v>
      </c>
      <c r="J43" s="3" t="s">
        <v>309</v>
      </c>
      <c r="K43" s="3" t="s">
        <v>84</v>
      </c>
      <c r="L43" s="3" t="s">
        <v>312</v>
      </c>
      <c r="M43" s="3" t="s">
        <v>58</v>
      </c>
      <c r="N43" s="3" t="s">
        <v>284</v>
      </c>
      <c r="O43" s="3">
        <v>0</v>
      </c>
      <c r="P43" s="3">
        <v>18</v>
      </c>
      <c r="Q43" s="3" t="s">
        <v>60</v>
      </c>
      <c r="R43" s="3" t="s">
        <v>61</v>
      </c>
      <c r="S43" s="3">
        <v>1125</v>
      </c>
      <c r="T43" s="3">
        <v>247</v>
      </c>
      <c r="U43" s="3">
        <v>878</v>
      </c>
      <c r="V43" s="3">
        <v>197</v>
      </c>
      <c r="W43" s="3">
        <v>0</v>
      </c>
      <c r="X43" s="3" t="s">
        <v>147</v>
      </c>
      <c r="Y43" s="3">
        <v>0</v>
      </c>
      <c r="Z43" s="3">
        <v>0</v>
      </c>
      <c r="AA43" s="3">
        <v>0</v>
      </c>
      <c r="AB43" s="3">
        <v>0</v>
      </c>
      <c r="AC43" s="3">
        <v>15</v>
      </c>
      <c r="AD43" s="3">
        <v>8</v>
      </c>
      <c r="AE43" s="3">
        <v>14</v>
      </c>
      <c r="AF43" s="3" t="s">
        <v>0</v>
      </c>
      <c r="AG43" s="3" t="s">
        <v>49</v>
      </c>
    </row>
    <row r="44" spans="1:33" ht="165.75" x14ac:dyDescent="0.2">
      <c r="A44" s="5" t="str">
        <f>HYPERLINK("http://www.patentics.cn/invokexml.do?sf=ShowPatent&amp;spn=US9307544&amp;sv=a9f0a4343a16e626aaf6d7f7e7ee6202","US9307544")</f>
        <v>US9307544</v>
      </c>
      <c r="B44" s="3" t="s">
        <v>313</v>
      </c>
      <c r="C44" s="3" t="s">
        <v>314</v>
      </c>
      <c r="D44" s="3" t="s">
        <v>52</v>
      </c>
      <c r="E44" s="3" t="s">
        <v>52</v>
      </c>
      <c r="F44" s="3" t="s">
        <v>315</v>
      </c>
      <c r="G44" s="3" t="s">
        <v>124</v>
      </c>
      <c r="H44" s="3" t="s">
        <v>201</v>
      </c>
      <c r="I44" s="3" t="s">
        <v>316</v>
      </c>
      <c r="J44" s="3" t="s">
        <v>317</v>
      </c>
      <c r="K44" s="3" t="s">
        <v>82</v>
      </c>
      <c r="L44" s="3" t="s">
        <v>318</v>
      </c>
      <c r="M44" s="3" t="s">
        <v>82</v>
      </c>
      <c r="N44" s="3" t="s">
        <v>319</v>
      </c>
      <c r="O44" s="3">
        <v>0</v>
      </c>
      <c r="P44" s="3">
        <v>16</v>
      </c>
      <c r="Q44" s="3" t="s">
        <v>60</v>
      </c>
      <c r="R44" s="3" t="s">
        <v>61</v>
      </c>
      <c r="S44" s="3">
        <v>1081</v>
      </c>
      <c r="T44" s="3">
        <v>263</v>
      </c>
      <c r="U44" s="3">
        <v>818</v>
      </c>
      <c r="V44" s="3">
        <v>196</v>
      </c>
      <c r="W44" s="3">
        <v>8</v>
      </c>
      <c r="X44" s="3" t="s">
        <v>147</v>
      </c>
      <c r="Y44" s="3">
        <v>0</v>
      </c>
      <c r="Z44" s="3">
        <v>8</v>
      </c>
      <c r="AA44" s="3">
        <v>0</v>
      </c>
      <c r="AB44" s="3">
        <v>1</v>
      </c>
      <c r="AC44" s="3">
        <v>51</v>
      </c>
      <c r="AD44" s="3">
        <v>14</v>
      </c>
      <c r="AE44" s="3">
        <v>14</v>
      </c>
      <c r="AF44" s="3" t="s">
        <v>0</v>
      </c>
      <c r="AG44" s="3" t="s">
        <v>49</v>
      </c>
    </row>
    <row r="45" spans="1:33" ht="114.75" x14ac:dyDescent="0.2">
      <c r="A45" s="5" t="str">
        <f>HYPERLINK("http://www.patentics.cn/invokexml.do?sf=ShowPatent&amp;spn=US9408220&amp;sv=e9ff43341b48dcd1967c3716ac564275","US9408220")</f>
        <v>US9408220</v>
      </c>
      <c r="B45" s="3" t="s">
        <v>320</v>
      </c>
      <c r="C45" s="3" t="s">
        <v>314</v>
      </c>
      <c r="D45" s="3" t="s">
        <v>52</v>
      </c>
      <c r="E45" s="3" t="s">
        <v>52</v>
      </c>
      <c r="F45" s="3" t="s">
        <v>321</v>
      </c>
      <c r="G45" s="3" t="s">
        <v>124</v>
      </c>
      <c r="H45" s="3" t="s">
        <v>201</v>
      </c>
      <c r="I45" s="3" t="s">
        <v>55</v>
      </c>
      <c r="J45" s="3" t="s">
        <v>322</v>
      </c>
      <c r="K45" s="3" t="s">
        <v>43</v>
      </c>
      <c r="L45" s="3" t="s">
        <v>57</v>
      </c>
      <c r="M45" s="3" t="s">
        <v>82</v>
      </c>
      <c r="N45" s="3" t="s">
        <v>319</v>
      </c>
      <c r="O45" s="3">
        <v>0</v>
      </c>
      <c r="P45" s="3">
        <v>12</v>
      </c>
      <c r="Q45" s="3" t="s">
        <v>60</v>
      </c>
      <c r="R45" s="3" t="s">
        <v>61</v>
      </c>
      <c r="S45" s="3">
        <v>1131</v>
      </c>
      <c r="T45" s="3">
        <v>252</v>
      </c>
      <c r="U45" s="3">
        <v>879</v>
      </c>
      <c r="V45" s="3">
        <v>196</v>
      </c>
      <c r="W45" s="3">
        <v>0</v>
      </c>
      <c r="X45" s="3" t="s">
        <v>147</v>
      </c>
      <c r="Y45" s="3">
        <v>0</v>
      </c>
      <c r="Z45" s="3">
        <v>0</v>
      </c>
      <c r="AA45" s="3">
        <v>0</v>
      </c>
      <c r="AB45" s="3">
        <v>0</v>
      </c>
      <c r="AC45" s="3">
        <v>51</v>
      </c>
      <c r="AD45" s="3">
        <v>14</v>
      </c>
      <c r="AE45" s="3">
        <v>14</v>
      </c>
      <c r="AF45" s="3" t="s">
        <v>0</v>
      </c>
      <c r="AG45" s="3" t="s">
        <v>49</v>
      </c>
    </row>
    <row r="46" spans="1:33" ht="76.5" x14ac:dyDescent="0.2">
      <c r="A46" s="5" t="str">
        <f>HYPERLINK("http://www.patentics.cn/invokexml.do?sf=ShowPatent&amp;spn=US9426012&amp;sv=bc455ecc6146a82fe03f62637e61358f","US9426012")</f>
        <v>US9426012</v>
      </c>
      <c r="B46" s="3" t="s">
        <v>323</v>
      </c>
      <c r="C46" s="3" t="s">
        <v>64</v>
      </c>
      <c r="D46" s="3" t="s">
        <v>52</v>
      </c>
      <c r="E46" s="3" t="s">
        <v>52</v>
      </c>
      <c r="F46" s="3" t="s">
        <v>65</v>
      </c>
      <c r="G46" s="3" t="s">
        <v>66</v>
      </c>
      <c r="H46" s="3" t="s">
        <v>67</v>
      </c>
      <c r="I46" s="3" t="s">
        <v>324</v>
      </c>
      <c r="J46" s="3" t="s">
        <v>325</v>
      </c>
      <c r="K46" s="3" t="s">
        <v>58</v>
      </c>
      <c r="L46" s="3" t="s">
        <v>326</v>
      </c>
      <c r="M46" s="3" t="s">
        <v>58</v>
      </c>
      <c r="N46" s="3" t="s">
        <v>327</v>
      </c>
      <c r="O46" s="3">
        <v>0</v>
      </c>
      <c r="P46" s="3">
        <v>20</v>
      </c>
      <c r="Q46" s="3" t="s">
        <v>60</v>
      </c>
      <c r="R46" s="3" t="s">
        <v>61</v>
      </c>
      <c r="S46" s="3">
        <v>999</v>
      </c>
      <c r="T46" s="3">
        <v>194</v>
      </c>
      <c r="U46" s="3">
        <v>805</v>
      </c>
      <c r="V46" s="3">
        <v>191</v>
      </c>
      <c r="W46" s="3">
        <v>1</v>
      </c>
      <c r="X46" s="3" t="s">
        <v>147</v>
      </c>
      <c r="Y46" s="3">
        <v>0</v>
      </c>
      <c r="Z46" s="3">
        <v>1</v>
      </c>
      <c r="AA46" s="3">
        <v>1</v>
      </c>
      <c r="AB46" s="3">
        <v>1</v>
      </c>
      <c r="AC46" s="3">
        <v>69</v>
      </c>
      <c r="AD46" s="3">
        <v>9</v>
      </c>
      <c r="AE46" s="3">
        <v>14</v>
      </c>
      <c r="AF46" s="3" t="s">
        <v>0</v>
      </c>
      <c r="AG46" s="3" t="s">
        <v>49</v>
      </c>
    </row>
    <row r="47" spans="1:33" ht="114.75" x14ac:dyDescent="0.2">
      <c r="A47" s="5" t="str">
        <f>HYPERLINK("http://www.patentics.cn/invokexml.do?sf=ShowPatent&amp;spn=US9461859&amp;sv=027d2fad25d71f90e65c341d65dc5cdd","US9461859")</f>
        <v>US9461859</v>
      </c>
      <c r="B47" s="3" t="s">
        <v>328</v>
      </c>
      <c r="C47" s="3" t="s">
        <v>237</v>
      </c>
      <c r="D47" s="3" t="s">
        <v>52</v>
      </c>
      <c r="E47" s="3" t="s">
        <v>52</v>
      </c>
      <c r="F47" s="3" t="s">
        <v>238</v>
      </c>
      <c r="G47" s="3" t="s">
        <v>112</v>
      </c>
      <c r="H47" s="3" t="s">
        <v>55</v>
      </c>
      <c r="I47" s="3" t="s">
        <v>55</v>
      </c>
      <c r="J47" s="3" t="s">
        <v>329</v>
      </c>
      <c r="K47" s="3" t="s">
        <v>84</v>
      </c>
      <c r="L47" s="3" t="s">
        <v>312</v>
      </c>
      <c r="M47" s="3" t="s">
        <v>58</v>
      </c>
      <c r="N47" s="3" t="s">
        <v>330</v>
      </c>
      <c r="O47" s="3">
        <v>0</v>
      </c>
      <c r="P47" s="3">
        <v>13</v>
      </c>
      <c r="Q47" s="3" t="s">
        <v>60</v>
      </c>
      <c r="R47" s="3" t="s">
        <v>61</v>
      </c>
      <c r="S47" s="3">
        <v>1158</v>
      </c>
      <c r="T47" s="3">
        <v>257</v>
      </c>
      <c r="U47" s="3">
        <v>901</v>
      </c>
      <c r="V47" s="3">
        <v>197</v>
      </c>
      <c r="W47" s="3">
        <v>0</v>
      </c>
      <c r="X47" s="3" t="s">
        <v>147</v>
      </c>
      <c r="Y47" s="3">
        <v>0</v>
      </c>
      <c r="Z47" s="3">
        <v>0</v>
      </c>
      <c r="AA47" s="3">
        <v>0</v>
      </c>
      <c r="AB47" s="3">
        <v>0</v>
      </c>
      <c r="AC47" s="3">
        <v>31</v>
      </c>
      <c r="AD47" s="3">
        <v>18</v>
      </c>
      <c r="AE47" s="3">
        <v>14</v>
      </c>
      <c r="AF47" s="3" t="s">
        <v>0</v>
      </c>
      <c r="AG47" s="3" t="s">
        <v>49</v>
      </c>
    </row>
    <row r="48" spans="1:33" ht="114.75" x14ac:dyDescent="0.2">
      <c r="A48" s="5" t="str">
        <f>HYPERLINK("http://www.patentics.cn/invokexml.do?sf=ShowPatent&amp;spn=US9520972&amp;sv=7e3bad9db122bf1debe71ba2ca3526b0","US9520972")</f>
        <v>US9520972</v>
      </c>
      <c r="B48" s="3" t="s">
        <v>331</v>
      </c>
      <c r="C48" s="3" t="s">
        <v>237</v>
      </c>
      <c r="D48" s="3" t="s">
        <v>52</v>
      </c>
      <c r="E48" s="3" t="s">
        <v>52</v>
      </c>
      <c r="F48" s="3" t="s">
        <v>238</v>
      </c>
      <c r="G48" s="3" t="s">
        <v>112</v>
      </c>
      <c r="H48" s="3" t="s">
        <v>239</v>
      </c>
      <c r="I48" s="3" t="s">
        <v>239</v>
      </c>
      <c r="J48" s="3" t="s">
        <v>332</v>
      </c>
      <c r="K48" s="3" t="s">
        <v>333</v>
      </c>
      <c r="L48" s="3" t="s">
        <v>334</v>
      </c>
      <c r="M48" s="3" t="s">
        <v>58</v>
      </c>
      <c r="N48" s="3" t="s">
        <v>335</v>
      </c>
      <c r="O48" s="3">
        <v>0</v>
      </c>
      <c r="P48" s="3">
        <v>20</v>
      </c>
      <c r="Q48" s="3" t="s">
        <v>60</v>
      </c>
      <c r="R48" s="3" t="s">
        <v>61</v>
      </c>
      <c r="S48" s="3">
        <v>1112</v>
      </c>
      <c r="T48" s="3">
        <v>247</v>
      </c>
      <c r="U48" s="3">
        <v>865</v>
      </c>
      <c r="V48" s="3">
        <v>194</v>
      </c>
      <c r="W48" s="3">
        <v>0</v>
      </c>
      <c r="X48" s="3" t="s">
        <v>147</v>
      </c>
      <c r="Y48" s="3">
        <v>0</v>
      </c>
      <c r="Z48" s="3">
        <v>0</v>
      </c>
      <c r="AA48" s="3">
        <v>0</v>
      </c>
      <c r="AB48" s="3">
        <v>0</v>
      </c>
      <c r="AC48" s="3">
        <v>44</v>
      </c>
      <c r="AD48" s="3">
        <v>16</v>
      </c>
      <c r="AE48" s="3">
        <v>14</v>
      </c>
      <c r="AF48" s="3" t="s">
        <v>0</v>
      </c>
      <c r="AG48" s="3" t="s">
        <v>49</v>
      </c>
    </row>
    <row r="49" spans="1:33" ht="114.75" x14ac:dyDescent="0.2">
      <c r="A49" s="5" t="str">
        <f>HYPERLINK("http://www.patentics.cn/invokexml.do?sf=ShowPatent&amp;spn=CN101194440B&amp;sv=76d22b937c88289d0cfc23971c614e5c","CN101194440B")</f>
        <v>CN101194440B</v>
      </c>
      <c r="B49" s="3" t="s">
        <v>336</v>
      </c>
      <c r="C49" s="3" t="s">
        <v>337</v>
      </c>
      <c r="D49" s="3" t="s">
        <v>338</v>
      </c>
      <c r="E49" s="3" t="s">
        <v>338</v>
      </c>
      <c r="F49" s="3" t="s">
        <v>339</v>
      </c>
      <c r="G49" s="3" t="s">
        <v>340</v>
      </c>
      <c r="H49" s="3" t="s">
        <v>201</v>
      </c>
      <c r="I49" s="3" t="s">
        <v>341</v>
      </c>
      <c r="J49" s="3" t="s">
        <v>342</v>
      </c>
      <c r="K49" s="3" t="s">
        <v>84</v>
      </c>
      <c r="L49" s="3" t="s">
        <v>343</v>
      </c>
      <c r="M49" s="3" t="s">
        <v>0</v>
      </c>
      <c r="N49" s="3" t="s">
        <v>0</v>
      </c>
      <c r="O49" s="3">
        <v>24</v>
      </c>
      <c r="P49" s="3">
        <v>14</v>
      </c>
      <c r="Q49" s="3" t="s">
        <v>60</v>
      </c>
      <c r="R49" s="3" t="s">
        <v>61</v>
      </c>
      <c r="S49" s="3">
        <v>5</v>
      </c>
      <c r="T49" s="3">
        <v>0</v>
      </c>
      <c r="U49" s="3">
        <v>5</v>
      </c>
      <c r="V49" s="3">
        <v>5</v>
      </c>
      <c r="W49" s="3">
        <v>8</v>
      </c>
      <c r="X49" s="3" t="s">
        <v>147</v>
      </c>
      <c r="Y49" s="3">
        <v>0</v>
      </c>
      <c r="Z49" s="3">
        <v>8</v>
      </c>
      <c r="AA49" s="3">
        <v>0</v>
      </c>
      <c r="AB49" s="3">
        <v>1</v>
      </c>
      <c r="AC49" s="3">
        <v>51</v>
      </c>
      <c r="AD49" s="3">
        <v>14</v>
      </c>
      <c r="AE49" s="3">
        <v>14</v>
      </c>
      <c r="AF49" s="3" t="s">
        <v>0</v>
      </c>
      <c r="AG49" s="3" t="s">
        <v>49</v>
      </c>
    </row>
    <row r="50" spans="1:33" ht="38.25" x14ac:dyDescent="0.2">
      <c r="A50" s="4" t="str">
        <f>HYPERLINK("http://www.patentics.cn/invokexml.do?sf=ShowPatent&amp;spn=US20020018453&amp;sv=1e636fc05cbee6ffecc94640c252537c","US20020018453")</f>
        <v>US20020018453</v>
      </c>
      <c r="B50" s="2" t="s">
        <v>344</v>
      </c>
      <c r="C50" s="2" t="s">
        <v>345</v>
      </c>
      <c r="D50" s="2" t="s">
        <v>346</v>
      </c>
      <c r="E50" s="2" t="s">
        <v>346</v>
      </c>
      <c r="F50" s="2" t="s">
        <v>347</v>
      </c>
      <c r="G50" s="2" t="s">
        <v>348</v>
      </c>
      <c r="H50" s="2" t="s">
        <v>349</v>
      </c>
      <c r="I50" s="2" t="s">
        <v>350</v>
      </c>
      <c r="J50" s="2" t="s">
        <v>351</v>
      </c>
      <c r="K50" s="2" t="s">
        <v>43</v>
      </c>
      <c r="L50" s="2" t="s">
        <v>57</v>
      </c>
      <c r="M50" s="2" t="s">
        <v>0</v>
      </c>
      <c r="N50" s="2" t="s">
        <v>0</v>
      </c>
      <c r="O50" s="2">
        <v>25</v>
      </c>
      <c r="P50" s="2">
        <v>7</v>
      </c>
      <c r="Q50" s="2" t="s">
        <v>352</v>
      </c>
      <c r="R50" s="2" t="s">
        <v>47</v>
      </c>
      <c r="S50" s="2">
        <v>1</v>
      </c>
      <c r="T50" s="2">
        <v>0</v>
      </c>
      <c r="U50" s="2">
        <v>1</v>
      </c>
      <c r="V50" s="2">
        <v>1</v>
      </c>
      <c r="W50" s="2">
        <v>53</v>
      </c>
      <c r="X50" s="2" t="s">
        <v>353</v>
      </c>
      <c r="Y50" s="2">
        <v>3</v>
      </c>
      <c r="Z50" s="2">
        <v>50</v>
      </c>
      <c r="AA50" s="2">
        <v>11</v>
      </c>
      <c r="AB50" s="2">
        <v>5</v>
      </c>
      <c r="AC50" s="2">
        <v>3</v>
      </c>
      <c r="AD50" s="2">
        <v>2</v>
      </c>
      <c r="AE50" s="2" t="s">
        <v>0</v>
      </c>
      <c r="AF50" s="2">
        <v>35</v>
      </c>
      <c r="AG50" s="2" t="s">
        <v>49</v>
      </c>
    </row>
    <row r="51" spans="1:33" ht="63.75" x14ac:dyDescent="0.2">
      <c r="A51" s="5" t="str">
        <f>HYPERLINK("http://www.patentics.cn/invokexml.do?sf=ShowPatent&amp;spn=US7076263&amp;sv=c2a6640aa24b777abfe82f361f69d8fe","US7076263")</f>
        <v>US7076263</v>
      </c>
      <c r="B51" s="3" t="s">
        <v>354</v>
      </c>
      <c r="C51" s="3" t="s">
        <v>355</v>
      </c>
      <c r="D51" s="3" t="s">
        <v>52</v>
      </c>
      <c r="E51" s="3" t="s">
        <v>52</v>
      </c>
      <c r="F51" s="3" t="s">
        <v>356</v>
      </c>
      <c r="G51" s="3" t="s">
        <v>357</v>
      </c>
      <c r="H51" s="3" t="s">
        <v>358</v>
      </c>
      <c r="I51" s="3" t="s">
        <v>358</v>
      </c>
      <c r="J51" s="3" t="s">
        <v>359</v>
      </c>
      <c r="K51" s="3" t="s">
        <v>84</v>
      </c>
      <c r="L51" s="3" t="s">
        <v>163</v>
      </c>
      <c r="M51" s="3" t="s">
        <v>84</v>
      </c>
      <c r="N51" s="3" t="s">
        <v>136</v>
      </c>
      <c r="O51" s="3">
        <v>0</v>
      </c>
      <c r="P51" s="3">
        <v>16</v>
      </c>
      <c r="Q51" s="3" t="s">
        <v>60</v>
      </c>
      <c r="R51" s="3" t="s">
        <v>61</v>
      </c>
      <c r="S51" s="3">
        <v>19</v>
      </c>
      <c r="T51" s="3">
        <v>4</v>
      </c>
      <c r="U51" s="3">
        <v>15</v>
      </c>
      <c r="V51" s="3">
        <v>11</v>
      </c>
      <c r="W51" s="3">
        <v>40</v>
      </c>
      <c r="X51" s="3" t="s">
        <v>360</v>
      </c>
      <c r="Y51" s="3">
        <v>17</v>
      </c>
      <c r="Z51" s="3">
        <v>23</v>
      </c>
      <c r="AA51" s="3">
        <v>12</v>
      </c>
      <c r="AB51" s="3">
        <v>2</v>
      </c>
      <c r="AC51" s="3">
        <v>29</v>
      </c>
      <c r="AD51" s="3">
        <v>15</v>
      </c>
      <c r="AE51" s="3">
        <v>14</v>
      </c>
      <c r="AF51" s="3" t="s">
        <v>0</v>
      </c>
      <c r="AG51" s="3" t="s">
        <v>49</v>
      </c>
    </row>
    <row r="52" spans="1:33" ht="63.75" x14ac:dyDescent="0.2">
      <c r="A52" s="5" t="str">
        <f>HYPERLINK("http://www.patentics.cn/invokexml.do?sf=ShowPatent&amp;spn=US7221956&amp;sv=4dbcf1eb1faa5ec3a5ac51673531c65c","US7221956")</f>
        <v>US7221956</v>
      </c>
      <c r="B52" s="3" t="s">
        <v>361</v>
      </c>
      <c r="C52" s="3" t="s">
        <v>355</v>
      </c>
      <c r="D52" s="3" t="s">
        <v>52</v>
      </c>
      <c r="E52" s="3" t="s">
        <v>52</v>
      </c>
      <c r="F52" s="3" t="s">
        <v>356</v>
      </c>
      <c r="G52" s="3" t="s">
        <v>357</v>
      </c>
      <c r="H52" s="3" t="s">
        <v>358</v>
      </c>
      <c r="I52" s="3" t="s">
        <v>362</v>
      </c>
      <c r="J52" s="3" t="s">
        <v>363</v>
      </c>
      <c r="K52" s="3" t="s">
        <v>84</v>
      </c>
      <c r="L52" s="3" t="s">
        <v>163</v>
      </c>
      <c r="M52" s="3" t="s">
        <v>84</v>
      </c>
      <c r="N52" s="3" t="s">
        <v>136</v>
      </c>
      <c r="O52" s="3">
        <v>0</v>
      </c>
      <c r="P52" s="3">
        <v>15</v>
      </c>
      <c r="Q52" s="3" t="s">
        <v>60</v>
      </c>
      <c r="R52" s="3" t="s">
        <v>61</v>
      </c>
      <c r="S52" s="3">
        <v>10</v>
      </c>
      <c r="T52" s="3">
        <v>4</v>
      </c>
      <c r="U52" s="3">
        <v>6</v>
      </c>
      <c r="V52" s="3">
        <v>5</v>
      </c>
      <c r="W52" s="3">
        <v>30</v>
      </c>
      <c r="X52" s="3" t="s">
        <v>364</v>
      </c>
      <c r="Y52" s="3">
        <v>18</v>
      </c>
      <c r="Z52" s="3">
        <v>12</v>
      </c>
      <c r="AA52" s="3">
        <v>8</v>
      </c>
      <c r="AB52" s="3">
        <v>1</v>
      </c>
      <c r="AC52" s="3">
        <v>29</v>
      </c>
      <c r="AD52" s="3">
        <v>15</v>
      </c>
      <c r="AE52" s="3">
        <v>14</v>
      </c>
      <c r="AF52" s="3" t="s">
        <v>0</v>
      </c>
      <c r="AG52" s="3" t="s">
        <v>49</v>
      </c>
    </row>
    <row r="53" spans="1:33" ht="114.75" x14ac:dyDescent="0.2">
      <c r="A53" s="5" t="str">
        <f>HYPERLINK("http://www.patentics.cn/invokexml.do?sf=ShowPatent&amp;spn=US7734309&amp;sv=94742c63c689d6f2301e0b352e9904ac","US7734309")</f>
        <v>US7734309</v>
      </c>
      <c r="B53" s="3" t="s">
        <v>365</v>
      </c>
      <c r="C53" s="3" t="s">
        <v>366</v>
      </c>
      <c r="D53" s="3" t="s">
        <v>52</v>
      </c>
      <c r="E53" s="3" t="s">
        <v>52</v>
      </c>
      <c r="F53" s="3" t="s">
        <v>367</v>
      </c>
      <c r="G53" s="3" t="s">
        <v>368</v>
      </c>
      <c r="H53" s="3" t="s">
        <v>369</v>
      </c>
      <c r="I53" s="3" t="s">
        <v>370</v>
      </c>
      <c r="J53" s="3" t="s">
        <v>371</v>
      </c>
      <c r="K53" s="3" t="s">
        <v>84</v>
      </c>
      <c r="L53" s="3" t="s">
        <v>163</v>
      </c>
      <c r="M53" s="3" t="s">
        <v>82</v>
      </c>
      <c r="N53" s="3" t="s">
        <v>372</v>
      </c>
      <c r="O53" s="3">
        <v>0</v>
      </c>
      <c r="P53" s="3">
        <v>12</v>
      </c>
      <c r="Q53" s="3" t="s">
        <v>60</v>
      </c>
      <c r="R53" s="3" t="s">
        <v>61</v>
      </c>
      <c r="S53" s="3">
        <v>33</v>
      </c>
      <c r="T53" s="3">
        <v>3</v>
      </c>
      <c r="U53" s="3">
        <v>30</v>
      </c>
      <c r="V53" s="3">
        <v>14</v>
      </c>
      <c r="W53" s="3">
        <v>7</v>
      </c>
      <c r="X53" s="3" t="s">
        <v>373</v>
      </c>
      <c r="Y53" s="3">
        <v>0</v>
      </c>
      <c r="Z53" s="3">
        <v>7</v>
      </c>
      <c r="AA53" s="3">
        <v>2</v>
      </c>
      <c r="AB53" s="3">
        <v>1</v>
      </c>
      <c r="AC53" s="3">
        <v>5</v>
      </c>
      <c r="AD53" s="3">
        <v>1</v>
      </c>
      <c r="AE53" s="3">
        <v>14</v>
      </c>
      <c r="AF53" s="3" t="s">
        <v>0</v>
      </c>
      <c r="AG53" s="3" t="s">
        <v>49</v>
      </c>
    </row>
    <row r="54" spans="1:33" ht="114.75" x14ac:dyDescent="0.2">
      <c r="A54" s="5" t="str">
        <f>HYPERLINK("http://www.patentics.cn/invokexml.do?sf=ShowPatent&amp;spn=US7966032&amp;sv=4d2cafb324d826f136210af8bf292106","US7966032")</f>
        <v>US7966032</v>
      </c>
      <c r="B54" s="3" t="s">
        <v>374</v>
      </c>
      <c r="C54" s="3" t="s">
        <v>366</v>
      </c>
      <c r="D54" s="3" t="s">
        <v>52</v>
      </c>
      <c r="E54" s="3" t="s">
        <v>52</v>
      </c>
      <c r="F54" s="3" t="s">
        <v>367</v>
      </c>
      <c r="G54" s="3" t="s">
        <v>368</v>
      </c>
      <c r="H54" s="3" t="s">
        <v>369</v>
      </c>
      <c r="I54" s="3" t="s">
        <v>375</v>
      </c>
      <c r="J54" s="3" t="s">
        <v>376</v>
      </c>
      <c r="K54" s="3" t="s">
        <v>43</v>
      </c>
      <c r="L54" s="3" t="s">
        <v>377</v>
      </c>
      <c r="M54" s="3" t="s">
        <v>82</v>
      </c>
      <c r="N54" s="3" t="s">
        <v>372</v>
      </c>
      <c r="O54" s="3">
        <v>0</v>
      </c>
      <c r="P54" s="3">
        <v>11</v>
      </c>
      <c r="Q54" s="3" t="s">
        <v>60</v>
      </c>
      <c r="R54" s="3" t="s">
        <v>61</v>
      </c>
      <c r="S54" s="3">
        <v>25</v>
      </c>
      <c r="T54" s="3">
        <v>3</v>
      </c>
      <c r="U54" s="3">
        <v>22</v>
      </c>
      <c r="V54" s="3">
        <v>14</v>
      </c>
      <c r="W54" s="3">
        <v>1</v>
      </c>
      <c r="X54" s="3" t="s">
        <v>378</v>
      </c>
      <c r="Y54" s="3">
        <v>0</v>
      </c>
      <c r="Z54" s="3">
        <v>1</v>
      </c>
      <c r="AA54" s="3">
        <v>1</v>
      </c>
      <c r="AB54" s="3">
        <v>1</v>
      </c>
      <c r="AC54" s="3">
        <v>5</v>
      </c>
      <c r="AD54" s="3">
        <v>1</v>
      </c>
      <c r="AE54" s="3">
        <v>14</v>
      </c>
      <c r="AF54" s="3" t="s">
        <v>0</v>
      </c>
      <c r="AG54" s="3" t="s">
        <v>49</v>
      </c>
    </row>
    <row r="55" spans="1:33" ht="114.75" x14ac:dyDescent="0.2">
      <c r="A55" s="5" t="str">
        <f>HYPERLINK("http://www.patentics.cn/invokexml.do?sf=ShowPatent&amp;spn=US7986742&amp;sv=ce5c5d0c44ecd3d024d9e72f78dcb463","US7986742")</f>
        <v>US7986742</v>
      </c>
      <c r="B55" s="3" t="s">
        <v>379</v>
      </c>
      <c r="C55" s="3" t="s">
        <v>380</v>
      </c>
      <c r="D55" s="3" t="s">
        <v>52</v>
      </c>
      <c r="E55" s="3" t="s">
        <v>52</v>
      </c>
      <c r="F55" s="3" t="s">
        <v>381</v>
      </c>
      <c r="G55" s="3" t="s">
        <v>382</v>
      </c>
      <c r="H55" s="3" t="s">
        <v>383</v>
      </c>
      <c r="I55" s="3" t="s">
        <v>384</v>
      </c>
      <c r="J55" s="3" t="s">
        <v>385</v>
      </c>
      <c r="K55" s="3" t="s">
        <v>84</v>
      </c>
      <c r="L55" s="3" t="s">
        <v>135</v>
      </c>
      <c r="M55" s="3" t="s">
        <v>84</v>
      </c>
      <c r="N55" s="3" t="s">
        <v>386</v>
      </c>
      <c r="O55" s="3">
        <v>0</v>
      </c>
      <c r="P55" s="3">
        <v>15</v>
      </c>
      <c r="Q55" s="3" t="s">
        <v>60</v>
      </c>
      <c r="R55" s="3" t="s">
        <v>61</v>
      </c>
      <c r="S55" s="3">
        <v>375</v>
      </c>
      <c r="T55" s="3">
        <v>55</v>
      </c>
      <c r="U55" s="3">
        <v>320</v>
      </c>
      <c r="V55" s="3">
        <v>95</v>
      </c>
      <c r="W55" s="3">
        <v>83</v>
      </c>
      <c r="X55" s="3" t="s">
        <v>387</v>
      </c>
      <c r="Y55" s="3">
        <v>17</v>
      </c>
      <c r="Z55" s="3">
        <v>66</v>
      </c>
      <c r="AA55" s="3">
        <v>7</v>
      </c>
      <c r="AB55" s="3">
        <v>2</v>
      </c>
      <c r="AC55" s="3">
        <v>451</v>
      </c>
      <c r="AD55" s="3">
        <v>20</v>
      </c>
      <c r="AE55" s="3">
        <v>14</v>
      </c>
      <c r="AF55" s="3" t="s">
        <v>0</v>
      </c>
      <c r="AG55" s="3" t="s">
        <v>49</v>
      </c>
    </row>
    <row r="56" spans="1:33" ht="114.75" x14ac:dyDescent="0.2">
      <c r="A56" s="5" t="str">
        <f>HYPERLINK("http://www.patentics.cn/invokexml.do?sf=ShowPatent&amp;spn=US8134976&amp;sv=26af49168b2759d69fa185e1ce013da8","US8134976")</f>
        <v>US8134976</v>
      </c>
      <c r="B56" s="3" t="s">
        <v>388</v>
      </c>
      <c r="C56" s="3" t="s">
        <v>389</v>
      </c>
      <c r="D56" s="3" t="s">
        <v>52</v>
      </c>
      <c r="E56" s="3" t="s">
        <v>52</v>
      </c>
      <c r="F56" s="3" t="s">
        <v>390</v>
      </c>
      <c r="G56" s="3" t="s">
        <v>391</v>
      </c>
      <c r="H56" s="3" t="s">
        <v>383</v>
      </c>
      <c r="I56" s="3" t="s">
        <v>392</v>
      </c>
      <c r="J56" s="3" t="s">
        <v>393</v>
      </c>
      <c r="K56" s="3" t="s">
        <v>82</v>
      </c>
      <c r="L56" s="3" t="s">
        <v>83</v>
      </c>
      <c r="M56" s="3" t="s">
        <v>84</v>
      </c>
      <c r="N56" s="3" t="s">
        <v>386</v>
      </c>
      <c r="O56" s="3">
        <v>0</v>
      </c>
      <c r="P56" s="3">
        <v>23</v>
      </c>
      <c r="Q56" s="3" t="s">
        <v>60</v>
      </c>
      <c r="R56" s="3" t="s">
        <v>61</v>
      </c>
      <c r="S56" s="3">
        <v>500</v>
      </c>
      <c r="T56" s="3">
        <v>91</v>
      </c>
      <c r="U56" s="3">
        <v>409</v>
      </c>
      <c r="V56" s="3">
        <v>118</v>
      </c>
      <c r="W56" s="3">
        <v>67</v>
      </c>
      <c r="X56" s="3" t="s">
        <v>394</v>
      </c>
      <c r="Y56" s="3">
        <v>21</v>
      </c>
      <c r="Z56" s="3">
        <v>46</v>
      </c>
      <c r="AA56" s="3">
        <v>6</v>
      </c>
      <c r="AB56" s="3">
        <v>4</v>
      </c>
      <c r="AC56" s="3">
        <v>451</v>
      </c>
      <c r="AD56" s="3">
        <v>20</v>
      </c>
      <c r="AE56" s="3">
        <v>14</v>
      </c>
      <c r="AF56" s="3" t="s">
        <v>0</v>
      </c>
      <c r="AG56" s="3" t="s">
        <v>49</v>
      </c>
    </row>
    <row r="57" spans="1:33" ht="51" x14ac:dyDescent="0.2">
      <c r="A57" s="5" t="str">
        <f>HYPERLINK("http://www.patentics.cn/invokexml.do?sf=ShowPatent&amp;spn=US8145179&amp;sv=bf36a7adf1c8e7becb3b5ebe35f52c69","US8145179")</f>
        <v>US8145179</v>
      </c>
      <c r="B57" s="3" t="s">
        <v>395</v>
      </c>
      <c r="C57" s="3" t="s">
        <v>396</v>
      </c>
      <c r="D57" s="3" t="s">
        <v>52</v>
      </c>
      <c r="E57" s="3" t="s">
        <v>52</v>
      </c>
      <c r="F57" s="3" t="s">
        <v>397</v>
      </c>
      <c r="G57" s="3" t="s">
        <v>398</v>
      </c>
      <c r="H57" s="3" t="s">
        <v>383</v>
      </c>
      <c r="I57" s="3" t="s">
        <v>399</v>
      </c>
      <c r="J57" s="3" t="s">
        <v>400</v>
      </c>
      <c r="K57" s="3" t="s">
        <v>84</v>
      </c>
      <c r="L57" s="3" t="s">
        <v>401</v>
      </c>
      <c r="M57" s="3" t="s">
        <v>84</v>
      </c>
      <c r="N57" s="3" t="s">
        <v>402</v>
      </c>
      <c r="O57" s="3">
        <v>0</v>
      </c>
      <c r="P57" s="3">
        <v>20</v>
      </c>
      <c r="Q57" s="3" t="s">
        <v>60</v>
      </c>
      <c r="R57" s="3" t="s">
        <v>61</v>
      </c>
      <c r="S57" s="3">
        <v>506</v>
      </c>
      <c r="T57" s="3">
        <v>86</v>
      </c>
      <c r="U57" s="3">
        <v>420</v>
      </c>
      <c r="V57" s="3">
        <v>118</v>
      </c>
      <c r="W57" s="3">
        <v>56</v>
      </c>
      <c r="X57" s="3" t="s">
        <v>403</v>
      </c>
      <c r="Y57" s="3">
        <v>18</v>
      </c>
      <c r="Z57" s="3">
        <v>38</v>
      </c>
      <c r="AA57" s="3">
        <v>1</v>
      </c>
      <c r="AB57" s="3">
        <v>2</v>
      </c>
      <c r="AC57" s="3">
        <v>451</v>
      </c>
      <c r="AD57" s="3">
        <v>20</v>
      </c>
      <c r="AE57" s="3">
        <v>14</v>
      </c>
      <c r="AF57" s="3" t="s">
        <v>0</v>
      </c>
      <c r="AG57" s="3" t="s">
        <v>49</v>
      </c>
    </row>
    <row r="58" spans="1:33" ht="89.25" x14ac:dyDescent="0.2">
      <c r="A58" s="5" t="str">
        <f>HYPERLINK("http://www.patentics.cn/invokexml.do?sf=ShowPatent&amp;spn=US8169944&amp;sv=f67b0d5cfc4b1962788bf24398b62d21","US8169944")</f>
        <v>US8169944</v>
      </c>
      <c r="B58" s="3" t="s">
        <v>404</v>
      </c>
      <c r="C58" s="3" t="s">
        <v>405</v>
      </c>
      <c r="D58" s="3" t="s">
        <v>52</v>
      </c>
      <c r="E58" s="3" t="s">
        <v>52</v>
      </c>
      <c r="F58" s="3" t="s">
        <v>406</v>
      </c>
      <c r="G58" s="3" t="s">
        <v>398</v>
      </c>
      <c r="H58" s="3" t="s">
        <v>383</v>
      </c>
      <c r="I58" s="3" t="s">
        <v>392</v>
      </c>
      <c r="J58" s="3" t="s">
        <v>407</v>
      </c>
      <c r="K58" s="3" t="s">
        <v>82</v>
      </c>
      <c r="L58" s="3" t="s">
        <v>83</v>
      </c>
      <c r="M58" s="3" t="s">
        <v>84</v>
      </c>
      <c r="N58" s="3" t="s">
        <v>408</v>
      </c>
      <c r="O58" s="3">
        <v>0</v>
      </c>
      <c r="P58" s="3">
        <v>9</v>
      </c>
      <c r="Q58" s="3" t="s">
        <v>60</v>
      </c>
      <c r="R58" s="3" t="s">
        <v>61</v>
      </c>
      <c r="S58" s="3">
        <v>504</v>
      </c>
      <c r="T58" s="3">
        <v>86</v>
      </c>
      <c r="U58" s="3">
        <v>418</v>
      </c>
      <c r="V58" s="3">
        <v>121</v>
      </c>
      <c r="W58" s="3">
        <v>56</v>
      </c>
      <c r="X58" s="3" t="s">
        <v>409</v>
      </c>
      <c r="Y58" s="3">
        <v>16</v>
      </c>
      <c r="Z58" s="3">
        <v>40</v>
      </c>
      <c r="AA58" s="3">
        <v>3</v>
      </c>
      <c r="AB58" s="3">
        <v>2</v>
      </c>
      <c r="AC58" s="3">
        <v>451</v>
      </c>
      <c r="AD58" s="3">
        <v>20</v>
      </c>
      <c r="AE58" s="3">
        <v>14</v>
      </c>
      <c r="AF58" s="3" t="s">
        <v>0</v>
      </c>
      <c r="AG58" s="3" t="s">
        <v>49</v>
      </c>
    </row>
    <row r="59" spans="1:33" ht="51" x14ac:dyDescent="0.2">
      <c r="A59" s="5" t="str">
        <f>HYPERLINK("http://www.patentics.cn/invokexml.do?sf=ShowPatent&amp;spn=US8170513&amp;sv=703b8f924486c2bfb1d12205b56d85c1","US8170513")</f>
        <v>US8170513</v>
      </c>
      <c r="B59" s="3" t="s">
        <v>410</v>
      </c>
      <c r="C59" s="3" t="s">
        <v>396</v>
      </c>
      <c r="D59" s="3" t="s">
        <v>52</v>
      </c>
      <c r="E59" s="3" t="s">
        <v>52</v>
      </c>
      <c r="F59" s="3" t="s">
        <v>397</v>
      </c>
      <c r="G59" s="3" t="s">
        <v>398</v>
      </c>
      <c r="H59" s="3" t="s">
        <v>383</v>
      </c>
      <c r="I59" s="3" t="s">
        <v>392</v>
      </c>
      <c r="J59" s="3" t="s">
        <v>407</v>
      </c>
      <c r="K59" s="3" t="s">
        <v>84</v>
      </c>
      <c r="L59" s="3" t="s">
        <v>411</v>
      </c>
      <c r="M59" s="3" t="s">
        <v>84</v>
      </c>
      <c r="N59" s="3" t="s">
        <v>402</v>
      </c>
      <c r="O59" s="3">
        <v>0</v>
      </c>
      <c r="P59" s="3">
        <v>11</v>
      </c>
      <c r="Q59" s="3" t="s">
        <v>60</v>
      </c>
      <c r="R59" s="3" t="s">
        <v>61</v>
      </c>
      <c r="S59" s="3">
        <v>518</v>
      </c>
      <c r="T59" s="3">
        <v>92</v>
      </c>
      <c r="U59" s="3">
        <v>426</v>
      </c>
      <c r="V59" s="3">
        <v>120</v>
      </c>
      <c r="W59" s="3">
        <v>58</v>
      </c>
      <c r="X59" s="3" t="s">
        <v>412</v>
      </c>
      <c r="Y59" s="3">
        <v>20</v>
      </c>
      <c r="Z59" s="3">
        <v>38</v>
      </c>
      <c r="AA59" s="3">
        <v>1</v>
      </c>
      <c r="AB59" s="3">
        <v>2</v>
      </c>
      <c r="AC59" s="3">
        <v>451</v>
      </c>
      <c r="AD59" s="3">
        <v>20</v>
      </c>
      <c r="AE59" s="3">
        <v>14</v>
      </c>
      <c r="AF59" s="3" t="s">
        <v>0</v>
      </c>
      <c r="AG59" s="3" t="s">
        <v>49</v>
      </c>
    </row>
    <row r="60" spans="1:33" ht="63.75" x14ac:dyDescent="0.2">
      <c r="A60" s="5" t="str">
        <f>HYPERLINK("http://www.patentics.cn/invokexml.do?sf=ShowPatent&amp;spn=US8194770&amp;sv=223824bfa3dad96665f264c26b6ba5d5","US8194770")</f>
        <v>US8194770</v>
      </c>
      <c r="B60" s="3" t="s">
        <v>413</v>
      </c>
      <c r="C60" s="3" t="s">
        <v>414</v>
      </c>
      <c r="D60" s="3" t="s">
        <v>52</v>
      </c>
      <c r="E60" s="3" t="s">
        <v>52</v>
      </c>
      <c r="F60" s="3" t="s">
        <v>415</v>
      </c>
      <c r="G60" s="3" t="s">
        <v>357</v>
      </c>
      <c r="H60" s="3" t="s">
        <v>416</v>
      </c>
      <c r="I60" s="3" t="s">
        <v>416</v>
      </c>
      <c r="J60" s="3" t="s">
        <v>417</v>
      </c>
      <c r="K60" s="3" t="s">
        <v>84</v>
      </c>
      <c r="L60" s="3" t="s">
        <v>135</v>
      </c>
      <c r="M60" s="3" t="s">
        <v>84</v>
      </c>
      <c r="N60" s="3" t="s">
        <v>408</v>
      </c>
      <c r="O60" s="3">
        <v>0</v>
      </c>
      <c r="P60" s="3">
        <v>15</v>
      </c>
      <c r="Q60" s="3" t="s">
        <v>60</v>
      </c>
      <c r="R60" s="3" t="s">
        <v>61</v>
      </c>
      <c r="S60" s="3">
        <v>496</v>
      </c>
      <c r="T60" s="3">
        <v>85</v>
      </c>
      <c r="U60" s="3">
        <v>411</v>
      </c>
      <c r="V60" s="3">
        <v>119</v>
      </c>
      <c r="W60" s="3">
        <v>25</v>
      </c>
      <c r="X60" s="3" t="s">
        <v>418</v>
      </c>
      <c r="Y60" s="3">
        <v>18</v>
      </c>
      <c r="Z60" s="3">
        <v>7</v>
      </c>
      <c r="AA60" s="3">
        <v>5</v>
      </c>
      <c r="AB60" s="3">
        <v>2</v>
      </c>
      <c r="AC60" s="3">
        <v>24</v>
      </c>
      <c r="AD60" s="3">
        <v>16</v>
      </c>
      <c r="AE60" s="3">
        <v>14</v>
      </c>
      <c r="AF60" s="3" t="s">
        <v>0</v>
      </c>
      <c r="AG60" s="3" t="s">
        <v>49</v>
      </c>
    </row>
    <row r="61" spans="1:33" ht="89.25" x14ac:dyDescent="0.2">
      <c r="A61" s="5" t="str">
        <f>HYPERLINK("http://www.patentics.cn/invokexml.do?sf=ShowPatent&amp;spn=US8203978&amp;sv=e6176ea2a0580efd21e0023eafce3d84","US8203978")</f>
        <v>US8203978</v>
      </c>
      <c r="B61" s="3" t="s">
        <v>419</v>
      </c>
      <c r="C61" s="3" t="s">
        <v>420</v>
      </c>
      <c r="D61" s="3" t="s">
        <v>52</v>
      </c>
      <c r="E61" s="3" t="s">
        <v>52</v>
      </c>
      <c r="F61" s="3" t="s">
        <v>406</v>
      </c>
      <c r="G61" s="3" t="s">
        <v>398</v>
      </c>
      <c r="H61" s="3" t="s">
        <v>383</v>
      </c>
      <c r="I61" s="3" t="s">
        <v>421</v>
      </c>
      <c r="J61" s="3" t="s">
        <v>422</v>
      </c>
      <c r="K61" s="3" t="s">
        <v>82</v>
      </c>
      <c r="L61" s="3" t="s">
        <v>83</v>
      </c>
      <c r="M61" s="3" t="s">
        <v>84</v>
      </c>
      <c r="N61" s="3" t="s">
        <v>136</v>
      </c>
      <c r="O61" s="3">
        <v>0</v>
      </c>
      <c r="P61" s="3">
        <v>21</v>
      </c>
      <c r="Q61" s="3" t="s">
        <v>60</v>
      </c>
      <c r="R61" s="3" t="s">
        <v>61</v>
      </c>
      <c r="S61" s="3">
        <v>501</v>
      </c>
      <c r="T61" s="3">
        <v>84</v>
      </c>
      <c r="U61" s="3">
        <v>417</v>
      </c>
      <c r="V61" s="3">
        <v>121</v>
      </c>
      <c r="W61" s="3">
        <v>60</v>
      </c>
      <c r="X61" s="3" t="s">
        <v>423</v>
      </c>
      <c r="Y61" s="3">
        <v>8</v>
      </c>
      <c r="Z61" s="3">
        <v>52</v>
      </c>
      <c r="AA61" s="3">
        <v>2</v>
      </c>
      <c r="AB61" s="3">
        <v>2</v>
      </c>
      <c r="AC61" s="3">
        <v>451</v>
      </c>
      <c r="AD61" s="3">
        <v>20</v>
      </c>
      <c r="AE61" s="3">
        <v>14</v>
      </c>
      <c r="AF61" s="3" t="s">
        <v>0</v>
      </c>
      <c r="AG61" s="3" t="s">
        <v>49</v>
      </c>
    </row>
    <row r="62" spans="1:33" ht="89.25" x14ac:dyDescent="0.2">
      <c r="A62" s="5" t="str">
        <f>HYPERLINK("http://www.patentics.cn/invokexml.do?sf=ShowPatent&amp;spn=US8208364&amp;sv=5e8c0db7aaefce1b9cdf867743e270fd","US8208364")</f>
        <v>US8208364</v>
      </c>
      <c r="B62" s="3" t="s">
        <v>424</v>
      </c>
      <c r="C62" s="3" t="s">
        <v>425</v>
      </c>
      <c r="D62" s="3" t="s">
        <v>52</v>
      </c>
      <c r="E62" s="3" t="s">
        <v>52</v>
      </c>
      <c r="F62" s="3" t="s">
        <v>406</v>
      </c>
      <c r="G62" s="3" t="s">
        <v>398</v>
      </c>
      <c r="H62" s="3" t="s">
        <v>383</v>
      </c>
      <c r="I62" s="3" t="s">
        <v>392</v>
      </c>
      <c r="J62" s="3" t="s">
        <v>426</v>
      </c>
      <c r="K62" s="3" t="s">
        <v>70</v>
      </c>
      <c r="L62" s="3" t="s">
        <v>71</v>
      </c>
      <c r="M62" s="3" t="s">
        <v>84</v>
      </c>
      <c r="N62" s="3" t="s">
        <v>136</v>
      </c>
      <c r="O62" s="3">
        <v>0</v>
      </c>
      <c r="P62" s="3">
        <v>18</v>
      </c>
      <c r="Q62" s="3" t="s">
        <v>60</v>
      </c>
      <c r="R62" s="3" t="s">
        <v>61</v>
      </c>
      <c r="S62" s="3">
        <v>508</v>
      </c>
      <c r="T62" s="3">
        <v>86</v>
      </c>
      <c r="U62" s="3">
        <v>422</v>
      </c>
      <c r="V62" s="3">
        <v>121</v>
      </c>
      <c r="W62" s="3">
        <v>66</v>
      </c>
      <c r="X62" s="3" t="s">
        <v>427</v>
      </c>
      <c r="Y62" s="3">
        <v>27</v>
      </c>
      <c r="Z62" s="3">
        <v>39</v>
      </c>
      <c r="AA62" s="3">
        <v>2</v>
      </c>
      <c r="AB62" s="3">
        <v>2</v>
      </c>
      <c r="AC62" s="3">
        <v>451</v>
      </c>
      <c r="AD62" s="3">
        <v>20</v>
      </c>
      <c r="AE62" s="3">
        <v>14</v>
      </c>
      <c r="AF62" s="3" t="s">
        <v>0</v>
      </c>
      <c r="AG62" s="3" t="s">
        <v>49</v>
      </c>
    </row>
    <row r="63" spans="1:33" ht="89.25" x14ac:dyDescent="0.2">
      <c r="A63" s="5" t="str">
        <f>HYPERLINK("http://www.patentics.cn/invokexml.do?sf=ShowPatent&amp;spn=US8218609&amp;sv=f11278c8f3e7251a575b19ca3ce80703","US8218609")</f>
        <v>US8218609</v>
      </c>
      <c r="B63" s="3" t="s">
        <v>428</v>
      </c>
      <c r="C63" s="3" t="s">
        <v>429</v>
      </c>
      <c r="D63" s="3" t="s">
        <v>52</v>
      </c>
      <c r="E63" s="3" t="s">
        <v>52</v>
      </c>
      <c r="F63" s="3" t="s">
        <v>430</v>
      </c>
      <c r="G63" s="3" t="s">
        <v>431</v>
      </c>
      <c r="H63" s="3" t="s">
        <v>383</v>
      </c>
      <c r="I63" s="3" t="s">
        <v>432</v>
      </c>
      <c r="J63" s="3" t="s">
        <v>433</v>
      </c>
      <c r="K63" s="3" t="s">
        <v>0</v>
      </c>
      <c r="L63" s="3" t="s">
        <v>0</v>
      </c>
      <c r="M63" s="3" t="s">
        <v>84</v>
      </c>
      <c r="N63" s="3" t="s">
        <v>136</v>
      </c>
      <c r="O63" s="3">
        <v>0</v>
      </c>
      <c r="P63" s="3">
        <v>13</v>
      </c>
      <c r="Q63" s="3" t="s">
        <v>60</v>
      </c>
      <c r="R63" s="3" t="s">
        <v>61</v>
      </c>
      <c r="S63" s="3">
        <v>519</v>
      </c>
      <c r="T63" s="3">
        <v>89</v>
      </c>
      <c r="U63" s="3">
        <v>430</v>
      </c>
      <c r="V63" s="3">
        <v>121</v>
      </c>
      <c r="W63" s="3">
        <v>54</v>
      </c>
      <c r="X63" s="3" t="s">
        <v>434</v>
      </c>
      <c r="Y63" s="3">
        <v>8</v>
      </c>
      <c r="Z63" s="3">
        <v>46</v>
      </c>
      <c r="AA63" s="3">
        <v>6</v>
      </c>
      <c r="AB63" s="3">
        <v>2</v>
      </c>
      <c r="AC63" s="3">
        <v>451</v>
      </c>
      <c r="AD63" s="3">
        <v>20</v>
      </c>
      <c r="AE63" s="3">
        <v>14</v>
      </c>
      <c r="AF63" s="3" t="s">
        <v>0</v>
      </c>
      <c r="AG63" s="3" t="s">
        <v>49</v>
      </c>
    </row>
    <row r="64" spans="1:33" ht="89.25" x14ac:dyDescent="0.2">
      <c r="A64" s="5" t="str">
        <f>HYPERLINK("http://www.patentics.cn/invokexml.do?sf=ShowPatent&amp;spn=US8320301&amp;sv=1dc993c93a39d1a3f21b0ecfbd9f79ea","US8320301")</f>
        <v>US8320301</v>
      </c>
      <c r="B64" s="3" t="s">
        <v>435</v>
      </c>
      <c r="C64" s="3" t="s">
        <v>436</v>
      </c>
      <c r="D64" s="3" t="s">
        <v>52</v>
      </c>
      <c r="E64" s="3" t="s">
        <v>52</v>
      </c>
      <c r="F64" s="3" t="s">
        <v>437</v>
      </c>
      <c r="G64" s="3" t="s">
        <v>398</v>
      </c>
      <c r="H64" s="3" t="s">
        <v>383</v>
      </c>
      <c r="I64" s="3" t="s">
        <v>392</v>
      </c>
      <c r="J64" s="3" t="s">
        <v>438</v>
      </c>
      <c r="K64" s="3" t="s">
        <v>82</v>
      </c>
      <c r="L64" s="3" t="s">
        <v>83</v>
      </c>
      <c r="M64" s="3" t="s">
        <v>84</v>
      </c>
      <c r="N64" s="3" t="s">
        <v>439</v>
      </c>
      <c r="O64" s="3">
        <v>0</v>
      </c>
      <c r="P64" s="3">
        <v>32</v>
      </c>
      <c r="Q64" s="3" t="s">
        <v>60</v>
      </c>
      <c r="R64" s="3" t="s">
        <v>61</v>
      </c>
      <c r="S64" s="3">
        <v>557</v>
      </c>
      <c r="T64" s="3">
        <v>109</v>
      </c>
      <c r="U64" s="3">
        <v>448</v>
      </c>
      <c r="V64" s="3">
        <v>124</v>
      </c>
      <c r="W64" s="3">
        <v>82</v>
      </c>
      <c r="X64" s="3" t="s">
        <v>440</v>
      </c>
      <c r="Y64" s="3">
        <v>21</v>
      </c>
      <c r="Z64" s="3">
        <v>61</v>
      </c>
      <c r="AA64" s="3">
        <v>10</v>
      </c>
      <c r="AB64" s="3">
        <v>3</v>
      </c>
      <c r="AC64" s="3">
        <v>451</v>
      </c>
      <c r="AD64" s="3">
        <v>20</v>
      </c>
      <c r="AE64" s="3">
        <v>14</v>
      </c>
      <c r="AF64" s="3" t="s">
        <v>0</v>
      </c>
      <c r="AG64" s="3" t="s">
        <v>49</v>
      </c>
    </row>
    <row r="65" spans="1:33" ht="89.25" x14ac:dyDescent="0.2">
      <c r="A65" s="5" t="str">
        <f>HYPERLINK("http://www.patentics.cn/invokexml.do?sf=ShowPatent&amp;spn=US8355313&amp;sv=7037a68f9efce23d88ef40c22d0166df","US8355313")</f>
        <v>US8355313</v>
      </c>
      <c r="B65" s="3" t="s">
        <v>441</v>
      </c>
      <c r="C65" s="3" t="s">
        <v>425</v>
      </c>
      <c r="D65" s="3" t="s">
        <v>52</v>
      </c>
      <c r="E65" s="3" t="s">
        <v>52</v>
      </c>
      <c r="F65" s="3" t="s">
        <v>406</v>
      </c>
      <c r="G65" s="3" t="s">
        <v>398</v>
      </c>
      <c r="H65" s="3" t="s">
        <v>383</v>
      </c>
      <c r="I65" s="3" t="s">
        <v>442</v>
      </c>
      <c r="J65" s="3" t="s">
        <v>443</v>
      </c>
      <c r="K65" s="3" t="s">
        <v>70</v>
      </c>
      <c r="L65" s="3" t="s">
        <v>71</v>
      </c>
      <c r="M65" s="3" t="s">
        <v>84</v>
      </c>
      <c r="N65" s="3" t="s">
        <v>136</v>
      </c>
      <c r="O65" s="3">
        <v>0</v>
      </c>
      <c r="P65" s="3">
        <v>16</v>
      </c>
      <c r="Q65" s="3" t="s">
        <v>60</v>
      </c>
      <c r="R65" s="3" t="s">
        <v>61</v>
      </c>
      <c r="S65" s="3">
        <v>558</v>
      </c>
      <c r="T65" s="3">
        <v>109</v>
      </c>
      <c r="U65" s="3">
        <v>449</v>
      </c>
      <c r="V65" s="3">
        <v>130</v>
      </c>
      <c r="W65" s="3">
        <v>49</v>
      </c>
      <c r="X65" s="3" t="s">
        <v>444</v>
      </c>
      <c r="Y65" s="3">
        <v>5</v>
      </c>
      <c r="Z65" s="3">
        <v>44</v>
      </c>
      <c r="AA65" s="3">
        <v>5</v>
      </c>
      <c r="AB65" s="3">
        <v>2</v>
      </c>
      <c r="AC65" s="3">
        <v>451</v>
      </c>
      <c r="AD65" s="3">
        <v>20</v>
      </c>
      <c r="AE65" s="3">
        <v>14</v>
      </c>
      <c r="AF65" s="3" t="s">
        <v>0</v>
      </c>
      <c r="AG65" s="3" t="s">
        <v>49</v>
      </c>
    </row>
    <row r="66" spans="1:33" ht="51" x14ac:dyDescent="0.2">
      <c r="A66" s="5" t="str">
        <f>HYPERLINK("http://www.patentics.cn/invokexml.do?sf=ShowPatent&amp;spn=US8358714&amp;sv=f6311e03dac7e8771bb3d247d92a462d","US8358714")</f>
        <v>US8358714</v>
      </c>
      <c r="B66" s="3" t="s">
        <v>445</v>
      </c>
      <c r="C66" s="3" t="s">
        <v>446</v>
      </c>
      <c r="D66" s="3" t="s">
        <v>52</v>
      </c>
      <c r="E66" s="3" t="s">
        <v>52</v>
      </c>
      <c r="F66" s="3" t="s">
        <v>447</v>
      </c>
      <c r="G66" s="3" t="s">
        <v>431</v>
      </c>
      <c r="H66" s="3" t="s">
        <v>132</v>
      </c>
      <c r="I66" s="3" t="s">
        <v>448</v>
      </c>
      <c r="J66" s="3" t="s">
        <v>449</v>
      </c>
      <c r="K66" s="3" t="s">
        <v>58</v>
      </c>
      <c r="L66" s="3" t="s">
        <v>450</v>
      </c>
      <c r="M66" s="3" t="s">
        <v>58</v>
      </c>
      <c r="N66" s="3" t="s">
        <v>451</v>
      </c>
      <c r="O66" s="3">
        <v>0</v>
      </c>
      <c r="P66" s="3">
        <v>7</v>
      </c>
      <c r="Q66" s="3" t="s">
        <v>60</v>
      </c>
      <c r="R66" s="3" t="s">
        <v>61</v>
      </c>
      <c r="S66" s="3">
        <v>509</v>
      </c>
      <c r="T66" s="3">
        <v>85</v>
      </c>
      <c r="U66" s="3">
        <v>424</v>
      </c>
      <c r="V66" s="3">
        <v>123</v>
      </c>
      <c r="W66" s="3">
        <v>14</v>
      </c>
      <c r="X66" s="3" t="s">
        <v>120</v>
      </c>
      <c r="Y66" s="3">
        <v>13</v>
      </c>
      <c r="Z66" s="3">
        <v>1</v>
      </c>
      <c r="AA66" s="3">
        <v>2</v>
      </c>
      <c r="AB66" s="3">
        <v>1</v>
      </c>
      <c r="AC66" s="3">
        <v>22</v>
      </c>
      <c r="AD66" s="3">
        <v>11</v>
      </c>
      <c r="AE66" s="3">
        <v>14</v>
      </c>
      <c r="AF66" s="3" t="s">
        <v>0</v>
      </c>
      <c r="AG66" s="3" t="s">
        <v>49</v>
      </c>
    </row>
    <row r="67" spans="1:33" ht="38.25" x14ac:dyDescent="0.2">
      <c r="A67" s="5" t="str">
        <f>HYPERLINK("http://www.patentics.cn/invokexml.do?sf=ShowPatent&amp;spn=US8446849&amp;sv=220fdca3c82f8fb4339423a1fcdba903","US8446849")</f>
        <v>US8446849</v>
      </c>
      <c r="B67" s="3" t="s">
        <v>452</v>
      </c>
      <c r="C67" s="3" t="s">
        <v>453</v>
      </c>
      <c r="D67" s="3" t="s">
        <v>52</v>
      </c>
      <c r="E67" s="3" t="s">
        <v>52</v>
      </c>
      <c r="F67" s="3" t="s">
        <v>454</v>
      </c>
      <c r="G67" s="3" t="s">
        <v>454</v>
      </c>
      <c r="H67" s="3" t="s">
        <v>455</v>
      </c>
      <c r="I67" s="3" t="s">
        <v>456</v>
      </c>
      <c r="J67" s="3" t="s">
        <v>81</v>
      </c>
      <c r="K67" s="3" t="s">
        <v>457</v>
      </c>
      <c r="L67" s="3" t="s">
        <v>458</v>
      </c>
      <c r="M67" s="3" t="s">
        <v>82</v>
      </c>
      <c r="N67" s="3" t="s">
        <v>459</v>
      </c>
      <c r="O67" s="3">
        <v>0</v>
      </c>
      <c r="P67" s="3">
        <v>14</v>
      </c>
      <c r="Q67" s="3" t="s">
        <v>60</v>
      </c>
      <c r="R67" s="3" t="s">
        <v>61</v>
      </c>
      <c r="S67" s="3">
        <v>25</v>
      </c>
      <c r="T67" s="3">
        <v>6</v>
      </c>
      <c r="U67" s="3">
        <v>19</v>
      </c>
      <c r="V67" s="3">
        <v>13</v>
      </c>
      <c r="W67" s="3">
        <v>11</v>
      </c>
      <c r="X67" s="3" t="s">
        <v>460</v>
      </c>
      <c r="Y67" s="3">
        <v>5</v>
      </c>
      <c r="Z67" s="3">
        <v>6</v>
      </c>
      <c r="AA67" s="3">
        <v>6</v>
      </c>
      <c r="AB67" s="3">
        <v>1</v>
      </c>
      <c r="AC67" s="3">
        <v>12</v>
      </c>
      <c r="AD67" s="3">
        <v>7</v>
      </c>
      <c r="AE67" s="3">
        <v>14</v>
      </c>
      <c r="AF67" s="3" t="s">
        <v>0</v>
      </c>
      <c r="AG67" s="3" t="s">
        <v>49</v>
      </c>
    </row>
    <row r="68" spans="1:33" ht="89.25" x14ac:dyDescent="0.2">
      <c r="A68" s="5" t="str">
        <f>HYPERLINK("http://www.patentics.cn/invokexml.do?sf=ShowPatent&amp;spn=US8462643&amp;sv=08eec86ea6ae172ee0ac755b44cd7402","US8462643")</f>
        <v>US8462643</v>
      </c>
      <c r="B68" s="3" t="s">
        <v>461</v>
      </c>
      <c r="C68" s="3" t="s">
        <v>436</v>
      </c>
      <c r="D68" s="3" t="s">
        <v>52</v>
      </c>
      <c r="E68" s="3" t="s">
        <v>52</v>
      </c>
      <c r="F68" s="3" t="s">
        <v>437</v>
      </c>
      <c r="G68" s="3" t="s">
        <v>398</v>
      </c>
      <c r="H68" s="3" t="s">
        <v>383</v>
      </c>
      <c r="I68" s="3" t="s">
        <v>462</v>
      </c>
      <c r="J68" s="3" t="s">
        <v>93</v>
      </c>
      <c r="K68" s="3" t="s">
        <v>70</v>
      </c>
      <c r="L68" s="3" t="s">
        <v>463</v>
      </c>
      <c r="M68" s="3" t="s">
        <v>84</v>
      </c>
      <c r="N68" s="3" t="s">
        <v>439</v>
      </c>
      <c r="O68" s="3">
        <v>0</v>
      </c>
      <c r="P68" s="3">
        <v>14</v>
      </c>
      <c r="Q68" s="3" t="s">
        <v>60</v>
      </c>
      <c r="R68" s="3" t="s">
        <v>61</v>
      </c>
      <c r="S68" s="3">
        <v>580</v>
      </c>
      <c r="T68" s="3">
        <v>109</v>
      </c>
      <c r="U68" s="3">
        <v>471</v>
      </c>
      <c r="V68" s="3">
        <v>129</v>
      </c>
      <c r="W68" s="3">
        <v>97</v>
      </c>
      <c r="X68" s="3" t="s">
        <v>464</v>
      </c>
      <c r="Y68" s="3">
        <v>44</v>
      </c>
      <c r="Z68" s="3">
        <v>53</v>
      </c>
      <c r="AA68" s="3">
        <v>7</v>
      </c>
      <c r="AB68" s="3">
        <v>2</v>
      </c>
      <c r="AC68" s="3">
        <v>451</v>
      </c>
      <c r="AD68" s="3">
        <v>20</v>
      </c>
      <c r="AE68" s="3">
        <v>14</v>
      </c>
      <c r="AF68" s="3" t="s">
        <v>0</v>
      </c>
      <c r="AG68" s="3" t="s">
        <v>49</v>
      </c>
    </row>
    <row r="69" spans="1:33" ht="89.25" x14ac:dyDescent="0.2">
      <c r="A69" s="5" t="str">
        <f>HYPERLINK("http://www.patentics.cn/invokexml.do?sf=ShowPatent&amp;spn=US8483188&amp;sv=904dfdb62dc3577bb127795d692df14f","US8483188")</f>
        <v>US8483188</v>
      </c>
      <c r="B69" s="3" t="s">
        <v>465</v>
      </c>
      <c r="C69" s="3" t="s">
        <v>425</v>
      </c>
      <c r="D69" s="3" t="s">
        <v>52</v>
      </c>
      <c r="E69" s="3" t="s">
        <v>52</v>
      </c>
      <c r="F69" s="3" t="s">
        <v>406</v>
      </c>
      <c r="G69" s="3" t="s">
        <v>398</v>
      </c>
      <c r="H69" s="3" t="s">
        <v>383</v>
      </c>
      <c r="I69" s="3" t="s">
        <v>442</v>
      </c>
      <c r="J69" s="3" t="s">
        <v>466</v>
      </c>
      <c r="K69" s="3" t="s">
        <v>70</v>
      </c>
      <c r="L69" s="3" t="s">
        <v>467</v>
      </c>
      <c r="M69" s="3" t="s">
        <v>84</v>
      </c>
      <c r="N69" s="3" t="s">
        <v>136</v>
      </c>
      <c r="O69" s="3">
        <v>0</v>
      </c>
      <c r="P69" s="3">
        <v>18</v>
      </c>
      <c r="Q69" s="3" t="s">
        <v>60</v>
      </c>
      <c r="R69" s="3" t="s">
        <v>61</v>
      </c>
      <c r="S69" s="3">
        <v>567</v>
      </c>
      <c r="T69" s="3">
        <v>103</v>
      </c>
      <c r="U69" s="3">
        <v>464</v>
      </c>
      <c r="V69" s="3">
        <v>129</v>
      </c>
      <c r="W69" s="3">
        <v>64</v>
      </c>
      <c r="X69" s="3" t="s">
        <v>468</v>
      </c>
      <c r="Y69" s="3">
        <v>10</v>
      </c>
      <c r="Z69" s="3">
        <v>54</v>
      </c>
      <c r="AA69" s="3">
        <v>4</v>
      </c>
      <c r="AB69" s="3">
        <v>2</v>
      </c>
      <c r="AC69" s="3">
        <v>451</v>
      </c>
      <c r="AD69" s="3">
        <v>20</v>
      </c>
      <c r="AE69" s="3">
        <v>14</v>
      </c>
      <c r="AF69" s="3" t="s">
        <v>0</v>
      </c>
      <c r="AG69" s="3" t="s">
        <v>49</v>
      </c>
    </row>
    <row r="70" spans="1:33" ht="114.75" x14ac:dyDescent="0.2">
      <c r="A70" s="5" t="str">
        <f>HYPERLINK("http://www.patentics.cn/invokexml.do?sf=ShowPatent&amp;spn=US8570988&amp;sv=0dd9852c139f699fdfc89cbbd6531417","US8570988")</f>
        <v>US8570988</v>
      </c>
      <c r="B70" s="3" t="s">
        <v>469</v>
      </c>
      <c r="C70" s="3" t="s">
        <v>389</v>
      </c>
      <c r="D70" s="3" t="s">
        <v>52</v>
      </c>
      <c r="E70" s="3" t="s">
        <v>52</v>
      </c>
      <c r="F70" s="3" t="s">
        <v>390</v>
      </c>
      <c r="G70" s="3" t="s">
        <v>391</v>
      </c>
      <c r="H70" s="3" t="s">
        <v>470</v>
      </c>
      <c r="I70" s="3" t="s">
        <v>470</v>
      </c>
      <c r="J70" s="3" t="s">
        <v>471</v>
      </c>
      <c r="K70" s="3" t="s">
        <v>84</v>
      </c>
      <c r="L70" s="3" t="s">
        <v>163</v>
      </c>
      <c r="M70" s="3" t="s">
        <v>84</v>
      </c>
      <c r="N70" s="3" t="s">
        <v>386</v>
      </c>
      <c r="O70" s="3">
        <v>0</v>
      </c>
      <c r="P70" s="3">
        <v>16</v>
      </c>
      <c r="Q70" s="3" t="s">
        <v>60</v>
      </c>
      <c r="R70" s="3" t="s">
        <v>61</v>
      </c>
      <c r="S70" s="3">
        <v>573</v>
      </c>
      <c r="T70" s="3">
        <v>106</v>
      </c>
      <c r="U70" s="3">
        <v>467</v>
      </c>
      <c r="V70" s="3">
        <v>129</v>
      </c>
      <c r="W70" s="3">
        <v>55</v>
      </c>
      <c r="X70" s="3" t="s">
        <v>472</v>
      </c>
      <c r="Y70" s="3">
        <v>6</v>
      </c>
      <c r="Z70" s="3">
        <v>49</v>
      </c>
      <c r="AA70" s="3">
        <v>6</v>
      </c>
      <c r="AB70" s="3">
        <v>2</v>
      </c>
      <c r="AC70" s="3">
        <v>22</v>
      </c>
      <c r="AD70" s="3">
        <v>10</v>
      </c>
      <c r="AE70" s="3">
        <v>14</v>
      </c>
      <c r="AF70" s="3" t="s">
        <v>0</v>
      </c>
      <c r="AG70" s="3" t="s">
        <v>49</v>
      </c>
    </row>
    <row r="71" spans="1:33" ht="89.25" x14ac:dyDescent="0.2">
      <c r="A71" s="5" t="str">
        <f>HYPERLINK("http://www.patentics.cn/invokexml.do?sf=ShowPatent&amp;spn=US8711763&amp;sv=296be3ec06bffdbe91b894de6c708e0b","US8711763")</f>
        <v>US8711763</v>
      </c>
      <c r="B71" s="3" t="s">
        <v>473</v>
      </c>
      <c r="C71" s="3" t="s">
        <v>405</v>
      </c>
      <c r="D71" s="3" t="s">
        <v>52</v>
      </c>
      <c r="E71" s="3" t="s">
        <v>52</v>
      </c>
      <c r="F71" s="3" t="s">
        <v>474</v>
      </c>
      <c r="G71" s="3" t="s">
        <v>431</v>
      </c>
      <c r="H71" s="3" t="s">
        <v>383</v>
      </c>
      <c r="I71" s="3" t="s">
        <v>475</v>
      </c>
      <c r="J71" s="3" t="s">
        <v>476</v>
      </c>
      <c r="K71" s="3" t="s">
        <v>82</v>
      </c>
      <c r="L71" s="3" t="s">
        <v>226</v>
      </c>
      <c r="M71" s="3" t="s">
        <v>84</v>
      </c>
      <c r="N71" s="3" t="s">
        <v>408</v>
      </c>
      <c r="O71" s="3">
        <v>0</v>
      </c>
      <c r="P71" s="3">
        <v>13</v>
      </c>
      <c r="Q71" s="3" t="s">
        <v>60</v>
      </c>
      <c r="R71" s="3" t="s">
        <v>61</v>
      </c>
      <c r="S71" s="3">
        <v>649</v>
      </c>
      <c r="T71" s="3">
        <v>129</v>
      </c>
      <c r="U71" s="3">
        <v>520</v>
      </c>
      <c r="V71" s="3">
        <v>134</v>
      </c>
      <c r="W71" s="3">
        <v>40</v>
      </c>
      <c r="X71" s="3" t="s">
        <v>147</v>
      </c>
      <c r="Y71" s="3">
        <v>2</v>
      </c>
      <c r="Z71" s="3">
        <v>38</v>
      </c>
      <c r="AA71" s="3">
        <v>1</v>
      </c>
      <c r="AB71" s="3">
        <v>2</v>
      </c>
      <c r="AC71" s="3">
        <v>451</v>
      </c>
      <c r="AD71" s="3">
        <v>20</v>
      </c>
      <c r="AE71" s="3">
        <v>14</v>
      </c>
      <c r="AF71" s="3" t="s">
        <v>0</v>
      </c>
      <c r="AG71" s="3" t="s">
        <v>49</v>
      </c>
    </row>
    <row r="72" spans="1:33" ht="114.75" x14ac:dyDescent="0.2">
      <c r="A72" s="5" t="str">
        <f>HYPERLINK("http://www.patentics.cn/invokexml.do?sf=ShowPatent&amp;spn=US8750151&amp;sv=d5debb2bf90d6a4b0e62125ee97f2377","US8750151")</f>
        <v>US8750151</v>
      </c>
      <c r="B72" s="3" t="s">
        <v>477</v>
      </c>
      <c r="C72" s="3" t="s">
        <v>389</v>
      </c>
      <c r="D72" s="3" t="s">
        <v>52</v>
      </c>
      <c r="E72" s="3" t="s">
        <v>52</v>
      </c>
      <c r="F72" s="3" t="s">
        <v>478</v>
      </c>
      <c r="G72" s="3" t="s">
        <v>391</v>
      </c>
      <c r="H72" s="3" t="s">
        <v>383</v>
      </c>
      <c r="I72" s="3" t="s">
        <v>393</v>
      </c>
      <c r="J72" s="3" t="s">
        <v>479</v>
      </c>
      <c r="K72" s="3" t="s">
        <v>84</v>
      </c>
      <c r="L72" s="3" t="s">
        <v>163</v>
      </c>
      <c r="M72" s="3" t="s">
        <v>84</v>
      </c>
      <c r="N72" s="3" t="s">
        <v>386</v>
      </c>
      <c r="O72" s="3">
        <v>0</v>
      </c>
      <c r="P72" s="3">
        <v>13</v>
      </c>
      <c r="Q72" s="3" t="s">
        <v>60</v>
      </c>
      <c r="R72" s="3" t="s">
        <v>61</v>
      </c>
      <c r="S72" s="3">
        <v>578</v>
      </c>
      <c r="T72" s="3">
        <v>101</v>
      </c>
      <c r="U72" s="3">
        <v>477</v>
      </c>
      <c r="V72" s="3">
        <v>133</v>
      </c>
      <c r="W72" s="3">
        <v>42</v>
      </c>
      <c r="X72" s="3" t="s">
        <v>378</v>
      </c>
      <c r="Y72" s="3">
        <v>2</v>
      </c>
      <c r="Z72" s="3">
        <v>40</v>
      </c>
      <c r="AA72" s="3">
        <v>3</v>
      </c>
      <c r="AB72" s="3">
        <v>2</v>
      </c>
      <c r="AC72" s="3">
        <v>451</v>
      </c>
      <c r="AD72" s="3">
        <v>20</v>
      </c>
      <c r="AE72" s="3">
        <v>14</v>
      </c>
      <c r="AF72" s="3" t="s">
        <v>0</v>
      </c>
      <c r="AG72" s="3" t="s">
        <v>49</v>
      </c>
    </row>
    <row r="73" spans="1:33" ht="51" x14ac:dyDescent="0.2">
      <c r="A73" s="5" t="str">
        <f>HYPERLINK("http://www.patentics.cn/invokexml.do?sf=ShowPatent&amp;spn=US8855226&amp;sv=6d6e00d734029f48135edc1db7ac4c0c","US8855226")</f>
        <v>US8855226</v>
      </c>
      <c r="B73" s="3" t="s">
        <v>480</v>
      </c>
      <c r="C73" s="3" t="s">
        <v>481</v>
      </c>
      <c r="D73" s="3" t="s">
        <v>52</v>
      </c>
      <c r="E73" s="3" t="s">
        <v>52</v>
      </c>
      <c r="F73" s="3" t="s">
        <v>482</v>
      </c>
      <c r="G73" s="3" t="s">
        <v>357</v>
      </c>
      <c r="H73" s="3" t="s">
        <v>483</v>
      </c>
      <c r="I73" s="3" t="s">
        <v>484</v>
      </c>
      <c r="J73" s="3" t="s">
        <v>485</v>
      </c>
      <c r="K73" s="3" t="s">
        <v>84</v>
      </c>
      <c r="L73" s="3" t="s">
        <v>135</v>
      </c>
      <c r="M73" s="3" t="s">
        <v>84</v>
      </c>
      <c r="N73" s="3" t="s">
        <v>408</v>
      </c>
      <c r="O73" s="3">
        <v>0</v>
      </c>
      <c r="P73" s="3">
        <v>13</v>
      </c>
      <c r="Q73" s="3" t="s">
        <v>60</v>
      </c>
      <c r="R73" s="3" t="s">
        <v>61</v>
      </c>
      <c r="S73" s="3">
        <v>605</v>
      </c>
      <c r="T73" s="3">
        <v>109</v>
      </c>
      <c r="U73" s="3">
        <v>496</v>
      </c>
      <c r="V73" s="3">
        <v>140</v>
      </c>
      <c r="W73" s="3">
        <v>5</v>
      </c>
      <c r="X73" s="3" t="s">
        <v>147</v>
      </c>
      <c r="Y73" s="3">
        <v>5</v>
      </c>
      <c r="Z73" s="3">
        <v>0</v>
      </c>
      <c r="AA73" s="3">
        <v>1</v>
      </c>
      <c r="AB73" s="3">
        <v>1</v>
      </c>
      <c r="AC73" s="3">
        <v>15</v>
      </c>
      <c r="AD73" s="3">
        <v>6</v>
      </c>
      <c r="AE73" s="3">
        <v>14</v>
      </c>
      <c r="AF73" s="3" t="s">
        <v>0</v>
      </c>
      <c r="AG73" s="3" t="s">
        <v>49</v>
      </c>
    </row>
    <row r="74" spans="1:33" ht="89.25" x14ac:dyDescent="0.2">
      <c r="A74" s="5" t="str">
        <f>HYPERLINK("http://www.patentics.cn/invokexml.do?sf=ShowPatent&amp;spn=US8873365&amp;sv=2433fdd13433aba5eeae218d775ff26b","US8873365")</f>
        <v>US8873365</v>
      </c>
      <c r="B74" s="3" t="s">
        <v>486</v>
      </c>
      <c r="C74" s="3" t="s">
        <v>487</v>
      </c>
      <c r="D74" s="3" t="s">
        <v>52</v>
      </c>
      <c r="E74" s="3" t="s">
        <v>52</v>
      </c>
      <c r="F74" s="3" t="s">
        <v>406</v>
      </c>
      <c r="G74" s="3" t="s">
        <v>398</v>
      </c>
      <c r="H74" s="3" t="s">
        <v>383</v>
      </c>
      <c r="I74" s="3" t="s">
        <v>488</v>
      </c>
      <c r="J74" s="3" t="s">
        <v>489</v>
      </c>
      <c r="K74" s="3" t="s">
        <v>70</v>
      </c>
      <c r="L74" s="3" t="s">
        <v>71</v>
      </c>
      <c r="M74" s="3" t="s">
        <v>84</v>
      </c>
      <c r="N74" s="3" t="s">
        <v>490</v>
      </c>
      <c r="O74" s="3">
        <v>0</v>
      </c>
      <c r="P74" s="3">
        <v>18</v>
      </c>
      <c r="Q74" s="3" t="s">
        <v>60</v>
      </c>
      <c r="R74" s="3" t="s">
        <v>61</v>
      </c>
      <c r="S74" s="3">
        <v>639</v>
      </c>
      <c r="T74" s="3">
        <v>126</v>
      </c>
      <c r="U74" s="3">
        <v>513</v>
      </c>
      <c r="V74" s="3">
        <v>137</v>
      </c>
      <c r="W74" s="3">
        <v>2</v>
      </c>
      <c r="X74" s="3" t="s">
        <v>147</v>
      </c>
      <c r="Y74" s="3">
        <v>2</v>
      </c>
      <c r="Z74" s="3">
        <v>0</v>
      </c>
      <c r="AA74" s="3">
        <v>1</v>
      </c>
      <c r="AB74" s="3">
        <v>1</v>
      </c>
      <c r="AC74" s="3">
        <v>451</v>
      </c>
      <c r="AD74" s="3">
        <v>20</v>
      </c>
      <c r="AE74" s="3">
        <v>14</v>
      </c>
      <c r="AF74" s="3" t="s">
        <v>0</v>
      </c>
      <c r="AG74" s="3" t="s">
        <v>49</v>
      </c>
    </row>
    <row r="75" spans="1:33" ht="89.25" x14ac:dyDescent="0.2">
      <c r="A75" s="5" t="str">
        <f>HYPERLINK("http://www.patentics.cn/invokexml.do?sf=ShowPatent&amp;spn=US8913529&amp;sv=f796fc8eb8b81d494a31daea82d17655","US8913529")</f>
        <v>US8913529</v>
      </c>
      <c r="B75" s="3" t="s">
        <v>491</v>
      </c>
      <c r="C75" s="3" t="s">
        <v>436</v>
      </c>
      <c r="D75" s="3" t="s">
        <v>52</v>
      </c>
      <c r="E75" s="3" t="s">
        <v>52</v>
      </c>
      <c r="F75" s="3" t="s">
        <v>437</v>
      </c>
      <c r="G75" s="3" t="s">
        <v>398</v>
      </c>
      <c r="H75" s="3" t="s">
        <v>383</v>
      </c>
      <c r="I75" s="3" t="s">
        <v>492</v>
      </c>
      <c r="J75" s="3" t="s">
        <v>493</v>
      </c>
      <c r="K75" s="3" t="s">
        <v>70</v>
      </c>
      <c r="L75" s="3" t="s">
        <v>467</v>
      </c>
      <c r="M75" s="3" t="s">
        <v>84</v>
      </c>
      <c r="N75" s="3" t="s">
        <v>439</v>
      </c>
      <c r="O75" s="3">
        <v>0</v>
      </c>
      <c r="P75" s="3">
        <v>28</v>
      </c>
      <c r="Q75" s="3" t="s">
        <v>60</v>
      </c>
      <c r="R75" s="3" t="s">
        <v>61</v>
      </c>
      <c r="S75" s="3">
        <v>633</v>
      </c>
      <c r="T75" s="3">
        <v>117</v>
      </c>
      <c r="U75" s="3">
        <v>516</v>
      </c>
      <c r="V75" s="3">
        <v>140</v>
      </c>
      <c r="W75" s="3">
        <v>2</v>
      </c>
      <c r="X75" s="3" t="s">
        <v>423</v>
      </c>
      <c r="Y75" s="3">
        <v>0</v>
      </c>
      <c r="Z75" s="3">
        <v>2</v>
      </c>
      <c r="AA75" s="3">
        <v>2</v>
      </c>
      <c r="AB75" s="3">
        <v>1</v>
      </c>
      <c r="AC75" s="3">
        <v>451</v>
      </c>
      <c r="AD75" s="3">
        <v>20</v>
      </c>
      <c r="AE75" s="3">
        <v>14</v>
      </c>
      <c r="AF75" s="3" t="s">
        <v>0</v>
      </c>
      <c r="AG75" s="3" t="s">
        <v>49</v>
      </c>
    </row>
    <row r="76" spans="1:33" ht="89.25" x14ac:dyDescent="0.2">
      <c r="A76" s="5" t="str">
        <f>HYPERLINK("http://www.patentics.cn/invokexml.do?sf=ShowPatent&amp;spn=US8934329&amp;sv=6fc2ad0b7021cda3c1acbe5c2b60cfde","US8934329")</f>
        <v>US8934329</v>
      </c>
      <c r="B76" s="3" t="s">
        <v>494</v>
      </c>
      <c r="C76" s="3" t="s">
        <v>487</v>
      </c>
      <c r="D76" s="3" t="s">
        <v>52</v>
      </c>
      <c r="E76" s="3" t="s">
        <v>52</v>
      </c>
      <c r="F76" s="3" t="s">
        <v>406</v>
      </c>
      <c r="G76" s="3" t="s">
        <v>398</v>
      </c>
      <c r="H76" s="3" t="s">
        <v>383</v>
      </c>
      <c r="I76" s="3" t="s">
        <v>495</v>
      </c>
      <c r="J76" s="3" t="s">
        <v>496</v>
      </c>
      <c r="K76" s="3" t="s">
        <v>70</v>
      </c>
      <c r="L76" s="3" t="s">
        <v>71</v>
      </c>
      <c r="M76" s="3" t="s">
        <v>84</v>
      </c>
      <c r="N76" s="3" t="s">
        <v>490</v>
      </c>
      <c r="O76" s="3">
        <v>0</v>
      </c>
      <c r="P76" s="3">
        <v>22</v>
      </c>
      <c r="Q76" s="3" t="s">
        <v>60</v>
      </c>
      <c r="R76" s="3" t="s">
        <v>61</v>
      </c>
      <c r="S76" s="3">
        <v>633</v>
      </c>
      <c r="T76" s="3">
        <v>114</v>
      </c>
      <c r="U76" s="3">
        <v>519</v>
      </c>
      <c r="V76" s="3">
        <v>139</v>
      </c>
      <c r="W76" s="3">
        <v>1</v>
      </c>
      <c r="X76" s="3" t="s">
        <v>147</v>
      </c>
      <c r="Y76" s="3">
        <v>1</v>
      </c>
      <c r="Z76" s="3">
        <v>0</v>
      </c>
      <c r="AA76" s="3">
        <v>1</v>
      </c>
      <c r="AB76" s="3">
        <v>1</v>
      </c>
      <c r="AC76" s="3">
        <v>451</v>
      </c>
      <c r="AD76" s="3">
        <v>20</v>
      </c>
      <c r="AE76" s="3">
        <v>14</v>
      </c>
      <c r="AF76" s="3" t="s">
        <v>0</v>
      </c>
      <c r="AG76" s="3" t="s">
        <v>49</v>
      </c>
    </row>
    <row r="77" spans="1:33" ht="89.25" x14ac:dyDescent="0.2">
      <c r="A77" s="5" t="str">
        <f>HYPERLINK("http://www.patentics.cn/invokexml.do?sf=ShowPatent&amp;spn=US9013974&amp;sv=c55d3986297d19669cc148e49c4512ca","US9013974")</f>
        <v>US9013974</v>
      </c>
      <c r="B77" s="3" t="s">
        <v>497</v>
      </c>
      <c r="C77" s="3" t="s">
        <v>436</v>
      </c>
      <c r="D77" s="3" t="s">
        <v>52</v>
      </c>
      <c r="E77" s="3" t="s">
        <v>52</v>
      </c>
      <c r="F77" s="3" t="s">
        <v>430</v>
      </c>
      <c r="G77" s="3" t="s">
        <v>431</v>
      </c>
      <c r="H77" s="3" t="s">
        <v>383</v>
      </c>
      <c r="I77" s="3" t="s">
        <v>498</v>
      </c>
      <c r="J77" s="3" t="s">
        <v>499</v>
      </c>
      <c r="K77" s="3" t="s">
        <v>70</v>
      </c>
      <c r="L77" s="3" t="s">
        <v>467</v>
      </c>
      <c r="M77" s="3" t="s">
        <v>84</v>
      </c>
      <c r="N77" s="3" t="s">
        <v>439</v>
      </c>
      <c r="O77" s="3">
        <v>0</v>
      </c>
      <c r="P77" s="3">
        <v>17</v>
      </c>
      <c r="Q77" s="3" t="s">
        <v>60</v>
      </c>
      <c r="R77" s="3" t="s">
        <v>61</v>
      </c>
      <c r="S77" s="3">
        <v>622</v>
      </c>
      <c r="T77" s="3">
        <v>128</v>
      </c>
      <c r="U77" s="3">
        <v>494</v>
      </c>
      <c r="V77" s="3">
        <v>138</v>
      </c>
      <c r="W77" s="3">
        <v>42</v>
      </c>
      <c r="X77" s="3" t="s">
        <v>108</v>
      </c>
      <c r="Y77" s="3">
        <v>3</v>
      </c>
      <c r="Z77" s="3">
        <v>39</v>
      </c>
      <c r="AA77" s="3">
        <v>2</v>
      </c>
      <c r="AB77" s="3">
        <v>2</v>
      </c>
      <c r="AC77" s="3">
        <v>451</v>
      </c>
      <c r="AD77" s="3">
        <v>20</v>
      </c>
      <c r="AE77" s="3">
        <v>14</v>
      </c>
      <c r="AF77" s="3" t="s">
        <v>0</v>
      </c>
      <c r="AG77" s="3" t="s">
        <v>49</v>
      </c>
    </row>
    <row r="78" spans="1:33" ht="89.25" x14ac:dyDescent="0.2">
      <c r="A78" s="5" t="str">
        <f>HYPERLINK("http://www.patentics.cn/invokexml.do?sf=ShowPatent&amp;spn=US9031097&amp;sv=34b9f79ee6531cdea19de01345ced221","US9031097")</f>
        <v>US9031097</v>
      </c>
      <c r="B78" s="3" t="s">
        <v>500</v>
      </c>
      <c r="C78" s="3" t="s">
        <v>425</v>
      </c>
      <c r="D78" s="3" t="s">
        <v>52</v>
      </c>
      <c r="E78" s="3" t="s">
        <v>52</v>
      </c>
      <c r="F78" s="3" t="s">
        <v>406</v>
      </c>
      <c r="G78" s="3" t="s">
        <v>398</v>
      </c>
      <c r="H78" s="3" t="s">
        <v>383</v>
      </c>
      <c r="I78" s="3" t="s">
        <v>501</v>
      </c>
      <c r="J78" s="3" t="s">
        <v>502</v>
      </c>
      <c r="K78" s="3" t="s">
        <v>70</v>
      </c>
      <c r="L78" s="3" t="s">
        <v>71</v>
      </c>
      <c r="M78" s="3" t="s">
        <v>0</v>
      </c>
      <c r="N78" s="3" t="s">
        <v>0</v>
      </c>
      <c r="O78" s="3">
        <v>0</v>
      </c>
      <c r="P78" s="3">
        <v>25</v>
      </c>
      <c r="Q78" s="3" t="s">
        <v>60</v>
      </c>
      <c r="R78" s="3" t="s">
        <v>61</v>
      </c>
      <c r="S78" s="3">
        <v>652</v>
      </c>
      <c r="T78" s="3">
        <v>115</v>
      </c>
      <c r="U78" s="3">
        <v>537</v>
      </c>
      <c r="V78" s="3">
        <v>145</v>
      </c>
      <c r="W78" s="3">
        <v>0</v>
      </c>
      <c r="X78" s="3" t="s">
        <v>147</v>
      </c>
      <c r="Y78" s="3">
        <v>0</v>
      </c>
      <c r="Z78" s="3">
        <v>0</v>
      </c>
      <c r="AA78" s="3">
        <v>0</v>
      </c>
      <c r="AB78" s="3">
        <v>0</v>
      </c>
      <c r="AC78" s="3">
        <v>451</v>
      </c>
      <c r="AD78" s="3">
        <v>20</v>
      </c>
      <c r="AE78" s="3">
        <v>14</v>
      </c>
      <c r="AF78" s="3" t="s">
        <v>0</v>
      </c>
      <c r="AG78" s="3" t="s">
        <v>49</v>
      </c>
    </row>
    <row r="79" spans="1:33" ht="89.25" x14ac:dyDescent="0.2">
      <c r="A79" s="5" t="str">
        <f>HYPERLINK("http://www.patentics.cn/invokexml.do?sf=ShowPatent&amp;spn=US9048892&amp;sv=efab4561d9a3c9b4b8518202b9cb9260","US9048892")</f>
        <v>US9048892</v>
      </c>
      <c r="B79" s="3" t="s">
        <v>503</v>
      </c>
      <c r="C79" s="3" t="s">
        <v>425</v>
      </c>
      <c r="D79" s="3" t="s">
        <v>52</v>
      </c>
      <c r="E79" s="3" t="s">
        <v>52</v>
      </c>
      <c r="F79" s="3" t="s">
        <v>406</v>
      </c>
      <c r="G79" s="3" t="s">
        <v>398</v>
      </c>
      <c r="H79" s="3" t="s">
        <v>383</v>
      </c>
      <c r="I79" s="3" t="s">
        <v>504</v>
      </c>
      <c r="J79" s="3" t="s">
        <v>505</v>
      </c>
      <c r="K79" s="3" t="s">
        <v>84</v>
      </c>
      <c r="L79" s="3" t="s">
        <v>506</v>
      </c>
      <c r="M79" s="3" t="s">
        <v>0</v>
      </c>
      <c r="N79" s="3" t="s">
        <v>0</v>
      </c>
      <c r="O79" s="3">
        <v>0</v>
      </c>
      <c r="P79" s="3">
        <v>16</v>
      </c>
      <c r="Q79" s="3" t="s">
        <v>60</v>
      </c>
      <c r="R79" s="3" t="s">
        <v>61</v>
      </c>
      <c r="S79" s="3">
        <v>701</v>
      </c>
      <c r="T79" s="3">
        <v>153</v>
      </c>
      <c r="U79" s="3">
        <v>548</v>
      </c>
      <c r="V79" s="3">
        <v>141</v>
      </c>
      <c r="W79" s="3">
        <v>39</v>
      </c>
      <c r="X79" s="3" t="s">
        <v>147</v>
      </c>
      <c r="Y79" s="3">
        <v>1</v>
      </c>
      <c r="Z79" s="3">
        <v>38</v>
      </c>
      <c r="AA79" s="3">
        <v>1</v>
      </c>
      <c r="AB79" s="3">
        <v>2</v>
      </c>
      <c r="AC79" s="3">
        <v>451</v>
      </c>
      <c r="AD79" s="3">
        <v>20</v>
      </c>
      <c r="AE79" s="3">
        <v>14</v>
      </c>
      <c r="AF79" s="3" t="s">
        <v>0</v>
      </c>
      <c r="AG79" s="3" t="s">
        <v>49</v>
      </c>
    </row>
    <row r="80" spans="1:33" ht="102" x14ac:dyDescent="0.2">
      <c r="A80" s="5" t="str">
        <f>HYPERLINK("http://www.patentics.cn/invokexml.do?sf=ShowPatent&amp;spn=US9154274&amp;sv=3b269b064cd22ad18bc1c1303715ab34","US9154274")</f>
        <v>US9154274</v>
      </c>
      <c r="B80" s="3" t="s">
        <v>507</v>
      </c>
      <c r="C80" s="3" t="s">
        <v>508</v>
      </c>
      <c r="D80" s="3" t="s">
        <v>52</v>
      </c>
      <c r="E80" s="3" t="s">
        <v>52</v>
      </c>
      <c r="F80" s="3" t="s">
        <v>509</v>
      </c>
      <c r="G80" s="3" t="s">
        <v>510</v>
      </c>
      <c r="H80" s="3" t="s">
        <v>383</v>
      </c>
      <c r="I80" s="3" t="s">
        <v>511</v>
      </c>
      <c r="J80" s="3" t="s">
        <v>256</v>
      </c>
      <c r="K80" s="3" t="s">
        <v>58</v>
      </c>
      <c r="L80" s="3" t="s">
        <v>188</v>
      </c>
      <c r="M80" s="3" t="s">
        <v>58</v>
      </c>
      <c r="N80" s="3" t="s">
        <v>512</v>
      </c>
      <c r="O80" s="3">
        <v>0</v>
      </c>
      <c r="P80" s="3">
        <v>15</v>
      </c>
      <c r="Q80" s="3" t="s">
        <v>60</v>
      </c>
      <c r="R80" s="3" t="s">
        <v>61</v>
      </c>
      <c r="S80" s="3">
        <v>665</v>
      </c>
      <c r="T80" s="3">
        <v>133</v>
      </c>
      <c r="U80" s="3">
        <v>532</v>
      </c>
      <c r="V80" s="3">
        <v>145</v>
      </c>
      <c r="W80" s="3">
        <v>14</v>
      </c>
      <c r="X80" s="3" t="s">
        <v>147</v>
      </c>
      <c r="Y80" s="3">
        <v>0</v>
      </c>
      <c r="Z80" s="3">
        <v>14</v>
      </c>
      <c r="AA80" s="3">
        <v>0</v>
      </c>
      <c r="AB80" s="3">
        <v>1</v>
      </c>
      <c r="AC80" s="3">
        <v>451</v>
      </c>
      <c r="AD80" s="3">
        <v>20</v>
      </c>
      <c r="AE80" s="3">
        <v>14</v>
      </c>
      <c r="AF80" s="3" t="s">
        <v>0</v>
      </c>
      <c r="AG80" s="3" t="s">
        <v>49</v>
      </c>
    </row>
    <row r="81" spans="1:33" ht="38.25" x14ac:dyDescent="0.2">
      <c r="A81" s="5" t="str">
        <f>HYPERLINK("http://www.patentics.cn/invokexml.do?sf=ShowPatent&amp;spn=US9155053&amp;sv=c315eda366660c7ed61c8db84818b79d","US9155053")</f>
        <v>US9155053</v>
      </c>
      <c r="B81" s="3" t="s">
        <v>513</v>
      </c>
      <c r="C81" s="3" t="s">
        <v>514</v>
      </c>
      <c r="D81" s="3" t="s">
        <v>52</v>
      </c>
      <c r="E81" s="3" t="s">
        <v>52</v>
      </c>
      <c r="F81" s="3" t="s">
        <v>454</v>
      </c>
      <c r="G81" s="3" t="s">
        <v>454</v>
      </c>
      <c r="H81" s="3" t="s">
        <v>455</v>
      </c>
      <c r="I81" s="3" t="s">
        <v>515</v>
      </c>
      <c r="J81" s="3" t="s">
        <v>256</v>
      </c>
      <c r="K81" s="3" t="s">
        <v>82</v>
      </c>
      <c r="L81" s="3" t="s">
        <v>516</v>
      </c>
      <c r="M81" s="3" t="s">
        <v>82</v>
      </c>
      <c r="N81" s="3" t="s">
        <v>517</v>
      </c>
      <c r="O81" s="3">
        <v>0</v>
      </c>
      <c r="P81" s="3">
        <v>15</v>
      </c>
      <c r="Q81" s="3" t="s">
        <v>60</v>
      </c>
      <c r="R81" s="3" t="s">
        <v>61</v>
      </c>
      <c r="S81" s="3">
        <v>31</v>
      </c>
      <c r="T81" s="3">
        <v>9</v>
      </c>
      <c r="U81" s="3">
        <v>22</v>
      </c>
      <c r="V81" s="3">
        <v>13</v>
      </c>
      <c r="W81" s="3">
        <v>0</v>
      </c>
      <c r="X81" s="3" t="s">
        <v>147</v>
      </c>
      <c r="Y81" s="3">
        <v>0</v>
      </c>
      <c r="Z81" s="3">
        <v>0</v>
      </c>
      <c r="AA81" s="3">
        <v>0</v>
      </c>
      <c r="AB81" s="3">
        <v>0</v>
      </c>
      <c r="AC81" s="3">
        <v>12</v>
      </c>
      <c r="AD81" s="3">
        <v>7</v>
      </c>
      <c r="AE81" s="3">
        <v>14</v>
      </c>
      <c r="AF81" s="3" t="s">
        <v>0</v>
      </c>
      <c r="AG81" s="3" t="s">
        <v>49</v>
      </c>
    </row>
    <row r="82" spans="1:33" ht="89.25" x14ac:dyDescent="0.2">
      <c r="A82" s="5" t="str">
        <f>HYPERLINK("http://www.patentics.cn/invokexml.do?sf=ShowPatent&amp;spn=US9240871&amp;sv=c2ca72e6e8f0d64780d0b5eb8169a1b8","US9240871")</f>
        <v>US9240871</v>
      </c>
      <c r="B82" s="3" t="s">
        <v>518</v>
      </c>
      <c r="C82" s="3" t="s">
        <v>436</v>
      </c>
      <c r="D82" s="3" t="s">
        <v>52</v>
      </c>
      <c r="E82" s="3" t="s">
        <v>52</v>
      </c>
      <c r="F82" s="3" t="s">
        <v>437</v>
      </c>
      <c r="G82" s="3" t="s">
        <v>398</v>
      </c>
      <c r="H82" s="3" t="s">
        <v>383</v>
      </c>
      <c r="I82" s="3" t="s">
        <v>492</v>
      </c>
      <c r="J82" s="3" t="s">
        <v>303</v>
      </c>
      <c r="K82" s="3" t="s">
        <v>84</v>
      </c>
      <c r="L82" s="3" t="s">
        <v>343</v>
      </c>
      <c r="M82" s="3" t="s">
        <v>58</v>
      </c>
      <c r="N82" s="3" t="s">
        <v>335</v>
      </c>
      <c r="O82" s="3">
        <v>0</v>
      </c>
      <c r="P82" s="3">
        <v>17</v>
      </c>
      <c r="Q82" s="3" t="s">
        <v>60</v>
      </c>
      <c r="R82" s="3" t="s">
        <v>61</v>
      </c>
      <c r="S82" s="3">
        <v>670</v>
      </c>
      <c r="T82" s="3">
        <v>123</v>
      </c>
      <c r="U82" s="3">
        <v>547</v>
      </c>
      <c r="V82" s="3">
        <v>143</v>
      </c>
      <c r="W82" s="3">
        <v>1</v>
      </c>
      <c r="X82" s="3" t="s">
        <v>108</v>
      </c>
      <c r="Y82" s="3">
        <v>0</v>
      </c>
      <c r="Z82" s="3">
        <v>1</v>
      </c>
      <c r="AA82" s="3">
        <v>1</v>
      </c>
      <c r="AB82" s="3">
        <v>1</v>
      </c>
      <c r="AC82" s="3">
        <v>451</v>
      </c>
      <c r="AD82" s="3">
        <v>20</v>
      </c>
      <c r="AE82" s="3">
        <v>14</v>
      </c>
      <c r="AF82" s="3" t="s">
        <v>0</v>
      </c>
      <c r="AG82" s="3" t="s">
        <v>49</v>
      </c>
    </row>
    <row r="83" spans="1:33" ht="114.75" x14ac:dyDescent="0.2">
      <c r="A83" s="5" t="str">
        <f>HYPERLINK("http://www.patentics.cn/invokexml.do?sf=ShowPatent&amp;spn=US9312935&amp;sv=8a8b4a2fa921cce9896714cb92405149","US9312935")</f>
        <v>US9312935</v>
      </c>
      <c r="B83" s="3" t="s">
        <v>519</v>
      </c>
      <c r="C83" s="3" t="s">
        <v>520</v>
      </c>
      <c r="D83" s="3" t="s">
        <v>52</v>
      </c>
      <c r="E83" s="3" t="s">
        <v>52</v>
      </c>
      <c r="F83" s="3" t="s">
        <v>381</v>
      </c>
      <c r="G83" s="3" t="s">
        <v>382</v>
      </c>
      <c r="H83" s="3" t="s">
        <v>383</v>
      </c>
      <c r="I83" s="3" t="s">
        <v>521</v>
      </c>
      <c r="J83" s="3" t="s">
        <v>522</v>
      </c>
      <c r="K83" s="3" t="s">
        <v>84</v>
      </c>
      <c r="L83" s="3" t="s">
        <v>135</v>
      </c>
      <c r="M83" s="3" t="s">
        <v>84</v>
      </c>
      <c r="N83" s="3" t="s">
        <v>386</v>
      </c>
      <c r="O83" s="3">
        <v>0</v>
      </c>
      <c r="P83" s="3">
        <v>16</v>
      </c>
      <c r="Q83" s="3" t="s">
        <v>60</v>
      </c>
      <c r="R83" s="3" t="s">
        <v>61</v>
      </c>
      <c r="S83" s="3">
        <v>659</v>
      </c>
      <c r="T83" s="3">
        <v>122</v>
      </c>
      <c r="U83" s="3">
        <v>537</v>
      </c>
      <c r="V83" s="3">
        <v>144</v>
      </c>
      <c r="W83" s="3">
        <v>39</v>
      </c>
      <c r="X83" s="3" t="s">
        <v>523</v>
      </c>
      <c r="Y83" s="3">
        <v>0</v>
      </c>
      <c r="Z83" s="3">
        <v>39</v>
      </c>
      <c r="AA83" s="3">
        <v>1</v>
      </c>
      <c r="AB83" s="3">
        <v>2</v>
      </c>
      <c r="AC83" s="3">
        <v>451</v>
      </c>
      <c r="AD83" s="3">
        <v>20</v>
      </c>
      <c r="AE83" s="3">
        <v>14</v>
      </c>
      <c r="AF83" s="3" t="s">
        <v>0</v>
      </c>
      <c r="AG83" s="3" t="s">
        <v>49</v>
      </c>
    </row>
    <row r="84" spans="1:33" ht="51" x14ac:dyDescent="0.2">
      <c r="A84" s="5" t="str">
        <f>HYPERLINK("http://www.patentics.cn/invokexml.do?sf=ShowPatent&amp;spn=US9473269&amp;sv=9ee0a95042dfab515e6d0065f23af355","US9473269")</f>
        <v>US9473269</v>
      </c>
      <c r="B84" s="3" t="s">
        <v>524</v>
      </c>
      <c r="C84" s="3" t="s">
        <v>525</v>
      </c>
      <c r="D84" s="3" t="s">
        <v>52</v>
      </c>
      <c r="E84" s="3" t="s">
        <v>52</v>
      </c>
      <c r="F84" s="3" t="s">
        <v>526</v>
      </c>
      <c r="G84" s="3" t="s">
        <v>398</v>
      </c>
      <c r="H84" s="3" t="s">
        <v>527</v>
      </c>
      <c r="I84" s="3" t="s">
        <v>527</v>
      </c>
      <c r="J84" s="3" t="s">
        <v>528</v>
      </c>
      <c r="K84" s="3" t="s">
        <v>82</v>
      </c>
      <c r="L84" s="3" t="s">
        <v>529</v>
      </c>
      <c r="M84" s="3" t="s">
        <v>58</v>
      </c>
      <c r="N84" s="3" t="s">
        <v>530</v>
      </c>
      <c r="O84" s="3">
        <v>0</v>
      </c>
      <c r="P84" s="3">
        <v>12</v>
      </c>
      <c r="Q84" s="3" t="s">
        <v>60</v>
      </c>
      <c r="R84" s="3" t="s">
        <v>61</v>
      </c>
      <c r="S84" s="3">
        <v>679</v>
      </c>
      <c r="T84" s="3">
        <v>128</v>
      </c>
      <c r="U84" s="3">
        <v>551</v>
      </c>
      <c r="V84" s="3">
        <v>145</v>
      </c>
      <c r="W84" s="3">
        <v>0</v>
      </c>
      <c r="X84" s="3" t="s">
        <v>147</v>
      </c>
      <c r="Y84" s="3">
        <v>0</v>
      </c>
      <c r="Z84" s="3">
        <v>0</v>
      </c>
      <c r="AA84" s="3">
        <v>0</v>
      </c>
      <c r="AB84" s="3">
        <v>0</v>
      </c>
      <c r="AC84" s="3">
        <v>34</v>
      </c>
      <c r="AD84" s="3">
        <v>17</v>
      </c>
      <c r="AE84" s="3">
        <v>14</v>
      </c>
      <c r="AF84" s="3" t="s">
        <v>0</v>
      </c>
      <c r="AG84" s="3" t="s">
        <v>49</v>
      </c>
    </row>
    <row r="85" spans="1:33" ht="51" x14ac:dyDescent="0.2">
      <c r="A85" s="5" t="str">
        <f>HYPERLINK("http://www.patentics.cn/invokexml.do?sf=ShowPatent&amp;spn=CN100448177C&amp;sv=36f5a48b5573e34680be69555a898429","CN100448177C")</f>
        <v>CN100448177C</v>
      </c>
      <c r="B85" s="3" t="s">
        <v>531</v>
      </c>
      <c r="C85" s="3" t="s">
        <v>532</v>
      </c>
      <c r="D85" s="3" t="s">
        <v>338</v>
      </c>
      <c r="E85" s="3" t="s">
        <v>338</v>
      </c>
      <c r="F85" s="3" t="s">
        <v>533</v>
      </c>
      <c r="G85" s="3" t="s">
        <v>534</v>
      </c>
      <c r="H85" s="3" t="s">
        <v>358</v>
      </c>
      <c r="I85" s="3" t="s">
        <v>535</v>
      </c>
      <c r="J85" s="3" t="s">
        <v>536</v>
      </c>
      <c r="K85" s="3" t="s">
        <v>84</v>
      </c>
      <c r="L85" s="3" t="s">
        <v>537</v>
      </c>
      <c r="M85" s="3" t="s">
        <v>0</v>
      </c>
      <c r="N85" s="3" t="s">
        <v>0</v>
      </c>
      <c r="O85" s="3">
        <v>38</v>
      </c>
      <c r="P85" s="3">
        <v>14</v>
      </c>
      <c r="Q85" s="3" t="s">
        <v>60</v>
      </c>
      <c r="R85" s="3" t="s">
        <v>61</v>
      </c>
      <c r="S85" s="3">
        <v>9</v>
      </c>
      <c r="T85" s="3">
        <v>1</v>
      </c>
      <c r="U85" s="3">
        <v>8</v>
      </c>
      <c r="V85" s="3">
        <v>8</v>
      </c>
      <c r="W85" s="3">
        <v>0</v>
      </c>
      <c r="X85" s="3" t="s">
        <v>147</v>
      </c>
      <c r="Y85" s="3">
        <v>0</v>
      </c>
      <c r="Z85" s="3">
        <v>0</v>
      </c>
      <c r="AA85" s="3">
        <v>0</v>
      </c>
      <c r="AB85" s="3">
        <v>0</v>
      </c>
      <c r="AC85" s="3">
        <v>29</v>
      </c>
      <c r="AD85" s="3">
        <v>15</v>
      </c>
      <c r="AE85" s="3">
        <v>14</v>
      </c>
      <c r="AF85" s="3" t="s">
        <v>0</v>
      </c>
      <c r="AG85" s="3" t="s">
        <v>49</v>
      </c>
    </row>
    <row r="86" spans="1:33" ht="25.5" x14ac:dyDescent="0.2">
      <c r="A86" s="4" t="str">
        <f>HYPERLINK("http://www.patentics.cn/invokexml.do?sf=ShowPatent&amp;spn=CN101729857&amp;sv=72ef7b385fafed5bac1d2c9291b2740d","CN101729857")</f>
        <v>CN101729857</v>
      </c>
      <c r="B86" s="2" t="s">
        <v>538</v>
      </c>
      <c r="C86" s="2" t="s">
        <v>539</v>
      </c>
      <c r="D86" s="2" t="s">
        <v>38</v>
      </c>
      <c r="E86" s="2" t="s">
        <v>38</v>
      </c>
      <c r="F86" s="2" t="s">
        <v>540</v>
      </c>
      <c r="G86" s="2" t="s">
        <v>541</v>
      </c>
      <c r="H86" s="2" t="s">
        <v>542</v>
      </c>
      <c r="I86" s="2" t="s">
        <v>542</v>
      </c>
      <c r="J86" s="2" t="s">
        <v>543</v>
      </c>
      <c r="K86" s="2" t="s">
        <v>544</v>
      </c>
      <c r="L86" s="2" t="s">
        <v>545</v>
      </c>
      <c r="M86" s="2" t="s">
        <v>0</v>
      </c>
      <c r="N86" s="2" t="s">
        <v>0</v>
      </c>
      <c r="O86" s="2">
        <v>8</v>
      </c>
      <c r="P86" s="2">
        <v>20</v>
      </c>
      <c r="Q86" s="2" t="s">
        <v>46</v>
      </c>
      <c r="R86" s="2" t="s">
        <v>47</v>
      </c>
      <c r="S86" s="2">
        <v>0</v>
      </c>
      <c r="T86" s="2">
        <v>0</v>
      </c>
      <c r="U86" s="2">
        <v>0</v>
      </c>
      <c r="V86" s="2">
        <v>0</v>
      </c>
      <c r="W86" s="2">
        <v>37</v>
      </c>
      <c r="X86" s="2" t="s">
        <v>546</v>
      </c>
      <c r="Y86" s="2">
        <v>1</v>
      </c>
      <c r="Z86" s="2">
        <v>36</v>
      </c>
      <c r="AA86" s="2">
        <v>4</v>
      </c>
      <c r="AB86" s="2">
        <v>3</v>
      </c>
      <c r="AC86" s="2">
        <v>1</v>
      </c>
      <c r="AD86" s="2">
        <v>2</v>
      </c>
      <c r="AE86" s="2" t="s">
        <v>0</v>
      </c>
      <c r="AF86" s="2">
        <v>33</v>
      </c>
      <c r="AG86" s="2" t="s">
        <v>547</v>
      </c>
    </row>
    <row r="87" spans="1:33" ht="76.5" x14ac:dyDescent="0.2">
      <c r="A87" s="5" t="str">
        <f>HYPERLINK("http://www.patentics.cn/invokexml.do?sf=ShowPatent&amp;spn=US8806050&amp;sv=a4ad1b2f9bf3435f9477a90805aa5aa7","US8806050")</f>
        <v>US8806050</v>
      </c>
      <c r="B87" s="3" t="s">
        <v>548</v>
      </c>
      <c r="C87" s="3" t="s">
        <v>549</v>
      </c>
      <c r="D87" s="3" t="s">
        <v>52</v>
      </c>
      <c r="E87" s="3" t="s">
        <v>52</v>
      </c>
      <c r="F87" s="3" t="s">
        <v>550</v>
      </c>
      <c r="G87" s="3" t="s">
        <v>551</v>
      </c>
      <c r="H87" s="3" t="s">
        <v>552</v>
      </c>
      <c r="I87" s="3" t="s">
        <v>553</v>
      </c>
      <c r="J87" s="3" t="s">
        <v>554</v>
      </c>
      <c r="K87" s="3" t="s">
        <v>555</v>
      </c>
      <c r="L87" s="3" t="s">
        <v>556</v>
      </c>
      <c r="M87" s="3" t="s">
        <v>58</v>
      </c>
      <c r="N87" s="3" t="s">
        <v>557</v>
      </c>
      <c r="O87" s="3">
        <v>0</v>
      </c>
      <c r="P87" s="3">
        <v>14</v>
      </c>
      <c r="Q87" s="3" t="s">
        <v>60</v>
      </c>
      <c r="R87" s="3" t="s">
        <v>61</v>
      </c>
      <c r="S87" s="3">
        <v>509</v>
      </c>
      <c r="T87" s="3">
        <v>78</v>
      </c>
      <c r="U87" s="3">
        <v>431</v>
      </c>
      <c r="V87" s="3">
        <v>157</v>
      </c>
      <c r="W87" s="3">
        <v>17</v>
      </c>
      <c r="X87" s="3" t="s">
        <v>165</v>
      </c>
      <c r="Y87" s="3">
        <v>10</v>
      </c>
      <c r="Z87" s="3">
        <v>7</v>
      </c>
      <c r="AA87" s="3">
        <v>4</v>
      </c>
      <c r="AB87" s="3">
        <v>2</v>
      </c>
      <c r="AC87" s="3">
        <v>63</v>
      </c>
      <c r="AD87" s="3">
        <v>16</v>
      </c>
      <c r="AE87" s="3">
        <v>14</v>
      </c>
      <c r="AF87" s="3" t="s">
        <v>0</v>
      </c>
      <c r="AG87" s="3" t="s">
        <v>49</v>
      </c>
    </row>
    <row r="88" spans="1:33" ht="63.75" x14ac:dyDescent="0.2">
      <c r="A88" s="5" t="str">
        <f>HYPERLINK("http://www.patentics.cn/invokexml.do?sf=ShowPatent&amp;spn=US8887020&amp;sv=1e80477119bcc3fd3b4645b34c8c4655","US8887020")</f>
        <v>US8887020</v>
      </c>
      <c r="B88" s="3" t="s">
        <v>558</v>
      </c>
      <c r="C88" s="3" t="s">
        <v>559</v>
      </c>
      <c r="D88" s="3" t="s">
        <v>52</v>
      </c>
      <c r="E88" s="3" t="s">
        <v>52</v>
      </c>
      <c r="F88" s="3" t="s">
        <v>560</v>
      </c>
      <c r="G88" s="3" t="s">
        <v>560</v>
      </c>
      <c r="H88" s="3" t="s">
        <v>561</v>
      </c>
      <c r="I88" s="3" t="s">
        <v>562</v>
      </c>
      <c r="J88" s="3" t="s">
        <v>196</v>
      </c>
      <c r="K88" s="3" t="s">
        <v>95</v>
      </c>
      <c r="L88" s="3" t="s">
        <v>563</v>
      </c>
      <c r="M88" s="3" t="s">
        <v>95</v>
      </c>
      <c r="N88" s="3" t="s">
        <v>564</v>
      </c>
      <c r="O88" s="3">
        <v>0</v>
      </c>
      <c r="P88" s="3">
        <v>20</v>
      </c>
      <c r="Q88" s="3" t="s">
        <v>60</v>
      </c>
      <c r="R88" s="3" t="s">
        <v>61</v>
      </c>
      <c r="S88" s="3">
        <v>566</v>
      </c>
      <c r="T88" s="3">
        <v>98</v>
      </c>
      <c r="U88" s="3">
        <v>468</v>
      </c>
      <c r="V88" s="3">
        <v>165</v>
      </c>
      <c r="W88" s="3">
        <v>11</v>
      </c>
      <c r="X88" s="3" t="s">
        <v>565</v>
      </c>
      <c r="Y88" s="3">
        <v>3</v>
      </c>
      <c r="Z88" s="3">
        <v>8</v>
      </c>
      <c r="AA88" s="3">
        <v>3</v>
      </c>
      <c r="AB88" s="3">
        <v>2</v>
      </c>
      <c r="AC88" s="3">
        <v>25</v>
      </c>
      <c r="AD88" s="3">
        <v>7</v>
      </c>
      <c r="AE88" s="3">
        <v>14</v>
      </c>
      <c r="AF88" s="3" t="s">
        <v>0</v>
      </c>
      <c r="AG88" s="3" t="s">
        <v>49</v>
      </c>
    </row>
    <row r="89" spans="1:33" ht="38.25" x14ac:dyDescent="0.2">
      <c r="A89" s="5" t="str">
        <f>HYPERLINK("http://www.patentics.cn/invokexml.do?sf=ShowPatent&amp;spn=US8918533&amp;sv=4c7d5487b9ccbe919b52d95960947aa1","US8918533")</f>
        <v>US8918533</v>
      </c>
      <c r="B89" s="3" t="s">
        <v>566</v>
      </c>
      <c r="C89" s="3" t="s">
        <v>567</v>
      </c>
      <c r="D89" s="3" t="s">
        <v>52</v>
      </c>
      <c r="E89" s="3" t="s">
        <v>52</v>
      </c>
      <c r="F89" s="3" t="s">
        <v>568</v>
      </c>
      <c r="G89" s="3" t="s">
        <v>551</v>
      </c>
      <c r="H89" s="3" t="s">
        <v>569</v>
      </c>
      <c r="I89" s="3" t="s">
        <v>570</v>
      </c>
      <c r="J89" s="3" t="s">
        <v>203</v>
      </c>
      <c r="K89" s="3" t="s">
        <v>555</v>
      </c>
      <c r="L89" s="3" t="s">
        <v>556</v>
      </c>
      <c r="M89" s="3" t="s">
        <v>544</v>
      </c>
      <c r="N89" s="3" t="s">
        <v>571</v>
      </c>
      <c r="O89" s="3">
        <v>0</v>
      </c>
      <c r="P89" s="3">
        <v>14</v>
      </c>
      <c r="Q89" s="3" t="s">
        <v>60</v>
      </c>
      <c r="R89" s="3" t="s">
        <v>61</v>
      </c>
      <c r="S89" s="3">
        <v>335</v>
      </c>
      <c r="T89" s="3">
        <v>43</v>
      </c>
      <c r="U89" s="3">
        <v>292</v>
      </c>
      <c r="V89" s="3">
        <v>95</v>
      </c>
      <c r="W89" s="3">
        <v>9</v>
      </c>
      <c r="X89" s="3" t="s">
        <v>572</v>
      </c>
      <c r="Y89" s="3">
        <v>2</v>
      </c>
      <c r="Z89" s="3">
        <v>7</v>
      </c>
      <c r="AA89" s="3">
        <v>4</v>
      </c>
      <c r="AB89" s="3">
        <v>2</v>
      </c>
      <c r="AC89" s="3">
        <v>12</v>
      </c>
      <c r="AD89" s="3">
        <v>8</v>
      </c>
      <c r="AE89" s="3">
        <v>14</v>
      </c>
      <c r="AF89" s="3" t="s">
        <v>0</v>
      </c>
      <c r="AG89" s="3" t="s">
        <v>49</v>
      </c>
    </row>
    <row r="90" spans="1:33" ht="76.5" x14ac:dyDescent="0.2">
      <c r="A90" s="5" t="str">
        <f>HYPERLINK("http://www.patentics.cn/invokexml.do?sf=ShowPatent&amp;spn=US8958375&amp;sv=5a6464a4bffc35fcd4914268a7c112b2","US8958375")</f>
        <v>US8958375</v>
      </c>
      <c r="B90" s="3" t="s">
        <v>573</v>
      </c>
      <c r="C90" s="3" t="s">
        <v>574</v>
      </c>
      <c r="D90" s="3" t="s">
        <v>52</v>
      </c>
      <c r="E90" s="3" t="s">
        <v>52</v>
      </c>
      <c r="F90" s="3" t="s">
        <v>575</v>
      </c>
      <c r="G90" s="3" t="s">
        <v>576</v>
      </c>
      <c r="H90" s="3" t="s">
        <v>577</v>
      </c>
      <c r="I90" s="3" t="s">
        <v>577</v>
      </c>
      <c r="J90" s="3" t="s">
        <v>578</v>
      </c>
      <c r="K90" s="3" t="s">
        <v>82</v>
      </c>
      <c r="L90" s="3" t="s">
        <v>83</v>
      </c>
      <c r="M90" s="3" t="s">
        <v>58</v>
      </c>
      <c r="N90" s="3" t="s">
        <v>579</v>
      </c>
      <c r="O90" s="3">
        <v>0</v>
      </c>
      <c r="P90" s="3">
        <v>17</v>
      </c>
      <c r="Q90" s="3" t="s">
        <v>60</v>
      </c>
      <c r="R90" s="3" t="s">
        <v>61</v>
      </c>
      <c r="S90" s="3">
        <v>583</v>
      </c>
      <c r="T90" s="3">
        <v>108</v>
      </c>
      <c r="U90" s="3">
        <v>475</v>
      </c>
      <c r="V90" s="3">
        <v>165</v>
      </c>
      <c r="W90" s="3">
        <v>8</v>
      </c>
      <c r="X90" s="3" t="s">
        <v>580</v>
      </c>
      <c r="Y90" s="3">
        <v>7</v>
      </c>
      <c r="Z90" s="3">
        <v>1</v>
      </c>
      <c r="AA90" s="3">
        <v>2</v>
      </c>
      <c r="AB90" s="3">
        <v>1</v>
      </c>
      <c r="AC90" s="3">
        <v>6</v>
      </c>
      <c r="AD90" s="3">
        <v>6</v>
      </c>
      <c r="AE90" s="3">
        <v>14</v>
      </c>
      <c r="AF90" s="3" t="s">
        <v>0</v>
      </c>
      <c r="AG90" s="3" t="s">
        <v>49</v>
      </c>
    </row>
    <row r="91" spans="1:33" ht="76.5" x14ac:dyDescent="0.2">
      <c r="A91" s="5" t="str">
        <f>HYPERLINK("http://www.patentics.cn/invokexml.do?sf=ShowPatent&amp;spn=US9136878&amp;sv=1d32e4032ff437f637a89d91cd56d37e","US9136878")</f>
        <v>US9136878</v>
      </c>
      <c r="B91" s="3" t="s">
        <v>581</v>
      </c>
      <c r="C91" s="3" t="s">
        <v>582</v>
      </c>
      <c r="D91" s="3" t="s">
        <v>52</v>
      </c>
      <c r="E91" s="3" t="s">
        <v>52</v>
      </c>
      <c r="F91" s="3" t="s">
        <v>583</v>
      </c>
      <c r="G91" s="3" t="s">
        <v>584</v>
      </c>
      <c r="H91" s="3" t="s">
        <v>585</v>
      </c>
      <c r="I91" s="3" t="s">
        <v>586</v>
      </c>
      <c r="J91" s="3" t="s">
        <v>225</v>
      </c>
      <c r="K91" s="3" t="s">
        <v>555</v>
      </c>
      <c r="L91" s="3" t="s">
        <v>587</v>
      </c>
      <c r="M91" s="3" t="s">
        <v>95</v>
      </c>
      <c r="N91" s="3" t="s">
        <v>588</v>
      </c>
      <c r="O91" s="3">
        <v>0</v>
      </c>
      <c r="P91" s="3">
        <v>17</v>
      </c>
      <c r="Q91" s="3" t="s">
        <v>60</v>
      </c>
      <c r="R91" s="3" t="s">
        <v>61</v>
      </c>
      <c r="S91" s="3">
        <v>647</v>
      </c>
      <c r="T91" s="3">
        <v>113</v>
      </c>
      <c r="U91" s="3">
        <v>534</v>
      </c>
      <c r="V91" s="3">
        <v>177</v>
      </c>
      <c r="W91" s="3">
        <v>6</v>
      </c>
      <c r="X91" s="3" t="s">
        <v>147</v>
      </c>
      <c r="Y91" s="3">
        <v>0</v>
      </c>
      <c r="Z91" s="3">
        <v>6</v>
      </c>
      <c r="AA91" s="3">
        <v>0</v>
      </c>
      <c r="AB91" s="3">
        <v>1</v>
      </c>
      <c r="AC91" s="3">
        <v>20</v>
      </c>
      <c r="AD91" s="3">
        <v>6</v>
      </c>
      <c r="AE91" s="3">
        <v>14</v>
      </c>
      <c r="AF91" s="3" t="s">
        <v>0</v>
      </c>
      <c r="AG91" s="3" t="s">
        <v>49</v>
      </c>
    </row>
    <row r="92" spans="1:33" ht="38.25" x14ac:dyDescent="0.2">
      <c r="A92" s="5" t="str">
        <f>HYPERLINK("http://www.patentics.cn/invokexml.do?sf=ShowPatent&amp;spn=US9136983&amp;sv=13b1ab2a2fabf9bd4dbcf87f65cc194a","US9136983")</f>
        <v>US9136983</v>
      </c>
      <c r="B92" s="3" t="s">
        <v>589</v>
      </c>
      <c r="C92" s="3" t="s">
        <v>590</v>
      </c>
      <c r="D92" s="3" t="s">
        <v>52</v>
      </c>
      <c r="E92" s="3" t="s">
        <v>52</v>
      </c>
      <c r="F92" s="3" t="s">
        <v>591</v>
      </c>
      <c r="G92" s="3" t="s">
        <v>576</v>
      </c>
      <c r="H92" s="3" t="s">
        <v>592</v>
      </c>
      <c r="I92" s="3" t="s">
        <v>593</v>
      </c>
      <c r="J92" s="3" t="s">
        <v>225</v>
      </c>
      <c r="K92" s="3" t="s">
        <v>58</v>
      </c>
      <c r="L92" s="3" t="s">
        <v>257</v>
      </c>
      <c r="M92" s="3" t="s">
        <v>58</v>
      </c>
      <c r="N92" s="3" t="s">
        <v>103</v>
      </c>
      <c r="O92" s="3">
        <v>0</v>
      </c>
      <c r="P92" s="3">
        <v>26</v>
      </c>
      <c r="Q92" s="3" t="s">
        <v>60</v>
      </c>
      <c r="R92" s="3" t="s">
        <v>61</v>
      </c>
      <c r="S92" s="3">
        <v>637</v>
      </c>
      <c r="T92" s="3">
        <v>116</v>
      </c>
      <c r="U92" s="3">
        <v>521</v>
      </c>
      <c r="V92" s="3">
        <v>176</v>
      </c>
      <c r="W92" s="3">
        <v>1</v>
      </c>
      <c r="X92" s="3" t="s">
        <v>74</v>
      </c>
      <c r="Y92" s="3">
        <v>0</v>
      </c>
      <c r="Z92" s="3">
        <v>1</v>
      </c>
      <c r="AA92" s="3">
        <v>1</v>
      </c>
      <c r="AB92" s="3">
        <v>1</v>
      </c>
      <c r="AC92" s="3">
        <v>14</v>
      </c>
      <c r="AD92" s="3">
        <v>7</v>
      </c>
      <c r="AE92" s="3">
        <v>14</v>
      </c>
      <c r="AF92" s="3" t="s">
        <v>0</v>
      </c>
      <c r="AG92" s="3" t="s">
        <v>49</v>
      </c>
    </row>
    <row r="93" spans="1:33" ht="127.5" x14ac:dyDescent="0.2">
      <c r="A93" s="5" t="str">
        <f>HYPERLINK("http://www.patentics.cn/invokexml.do?sf=ShowPatent&amp;spn=US9178535&amp;sv=d172133f2eb554f32eb6ffd1afb5a3c3","US9178535")</f>
        <v>US9178535</v>
      </c>
      <c r="B93" s="3" t="s">
        <v>594</v>
      </c>
      <c r="C93" s="3" t="s">
        <v>595</v>
      </c>
      <c r="D93" s="3" t="s">
        <v>52</v>
      </c>
      <c r="E93" s="3" t="s">
        <v>52</v>
      </c>
      <c r="F93" s="3" t="s">
        <v>596</v>
      </c>
      <c r="G93" s="3" t="s">
        <v>584</v>
      </c>
      <c r="H93" s="3" t="s">
        <v>597</v>
      </c>
      <c r="I93" s="3" t="s">
        <v>598</v>
      </c>
      <c r="J93" s="3" t="s">
        <v>269</v>
      </c>
      <c r="K93" s="3" t="s">
        <v>95</v>
      </c>
      <c r="L93" s="3" t="s">
        <v>563</v>
      </c>
      <c r="M93" s="3" t="s">
        <v>95</v>
      </c>
      <c r="N93" s="3" t="s">
        <v>599</v>
      </c>
      <c r="O93" s="3">
        <v>0</v>
      </c>
      <c r="P93" s="3">
        <v>7</v>
      </c>
      <c r="Q93" s="3" t="s">
        <v>60</v>
      </c>
      <c r="R93" s="3" t="s">
        <v>61</v>
      </c>
      <c r="S93" s="3">
        <v>650</v>
      </c>
      <c r="T93" s="3">
        <v>114</v>
      </c>
      <c r="U93" s="3">
        <v>536</v>
      </c>
      <c r="V93" s="3">
        <v>179</v>
      </c>
      <c r="W93" s="3">
        <v>1</v>
      </c>
      <c r="X93" s="3" t="s">
        <v>74</v>
      </c>
      <c r="Y93" s="3">
        <v>1</v>
      </c>
      <c r="Z93" s="3">
        <v>0</v>
      </c>
      <c r="AA93" s="3">
        <v>1</v>
      </c>
      <c r="AB93" s="3">
        <v>1</v>
      </c>
      <c r="AC93" s="3">
        <v>26</v>
      </c>
      <c r="AD93" s="3">
        <v>13</v>
      </c>
      <c r="AE93" s="3">
        <v>14</v>
      </c>
      <c r="AF93" s="3" t="s">
        <v>0</v>
      </c>
      <c r="AG93" s="3" t="s">
        <v>49</v>
      </c>
    </row>
    <row r="94" spans="1:33" ht="63.75" x14ac:dyDescent="0.2">
      <c r="A94" s="5" t="str">
        <f>HYPERLINK("http://www.patentics.cn/invokexml.do?sf=ShowPatent&amp;spn=US9185439&amp;sv=ffc3f0152b42eba0e5bb5bdf290f2221","US9185439")</f>
        <v>US9185439</v>
      </c>
      <c r="B94" s="3" t="s">
        <v>600</v>
      </c>
      <c r="C94" s="3" t="s">
        <v>601</v>
      </c>
      <c r="D94" s="3" t="s">
        <v>52</v>
      </c>
      <c r="E94" s="3" t="s">
        <v>52</v>
      </c>
      <c r="F94" s="3" t="s">
        <v>602</v>
      </c>
      <c r="G94" s="3" t="s">
        <v>551</v>
      </c>
      <c r="H94" s="3" t="s">
        <v>603</v>
      </c>
      <c r="I94" s="3" t="s">
        <v>604</v>
      </c>
      <c r="J94" s="3" t="s">
        <v>277</v>
      </c>
      <c r="K94" s="3" t="s">
        <v>544</v>
      </c>
      <c r="L94" s="3" t="s">
        <v>545</v>
      </c>
      <c r="M94" s="3" t="s">
        <v>544</v>
      </c>
      <c r="N94" s="3" t="s">
        <v>605</v>
      </c>
      <c r="O94" s="3">
        <v>0</v>
      </c>
      <c r="P94" s="3">
        <v>16</v>
      </c>
      <c r="Q94" s="3" t="s">
        <v>60</v>
      </c>
      <c r="R94" s="3" t="s">
        <v>61</v>
      </c>
      <c r="S94" s="3">
        <v>440</v>
      </c>
      <c r="T94" s="3">
        <v>70</v>
      </c>
      <c r="U94" s="3">
        <v>370</v>
      </c>
      <c r="V94" s="3">
        <v>111</v>
      </c>
      <c r="W94" s="3">
        <v>7</v>
      </c>
      <c r="X94" s="3" t="s">
        <v>606</v>
      </c>
      <c r="Y94" s="3">
        <v>0</v>
      </c>
      <c r="Z94" s="3">
        <v>7</v>
      </c>
      <c r="AA94" s="3">
        <v>3</v>
      </c>
      <c r="AB94" s="3">
        <v>2</v>
      </c>
      <c r="AC94" s="3">
        <v>14</v>
      </c>
      <c r="AD94" s="3">
        <v>9</v>
      </c>
      <c r="AE94" s="3">
        <v>14</v>
      </c>
      <c r="AF94" s="3" t="s">
        <v>0</v>
      </c>
      <c r="AG94" s="3" t="s">
        <v>49</v>
      </c>
    </row>
    <row r="95" spans="1:33" ht="127.5" x14ac:dyDescent="0.2">
      <c r="A95" s="5" t="str">
        <f>HYPERLINK("http://www.patentics.cn/invokexml.do?sf=ShowPatent&amp;spn=US9191151&amp;sv=6fc0670c2bf024af7a34befe64de2847","US9191151")</f>
        <v>US9191151</v>
      </c>
      <c r="B95" s="3" t="s">
        <v>607</v>
      </c>
      <c r="C95" s="3" t="s">
        <v>608</v>
      </c>
      <c r="D95" s="3" t="s">
        <v>52</v>
      </c>
      <c r="E95" s="3" t="s">
        <v>52</v>
      </c>
      <c r="F95" s="3" t="s">
        <v>609</v>
      </c>
      <c r="G95" s="3" t="s">
        <v>584</v>
      </c>
      <c r="H95" s="3" t="s">
        <v>610</v>
      </c>
      <c r="I95" s="3" t="s">
        <v>611</v>
      </c>
      <c r="J95" s="3" t="s">
        <v>612</v>
      </c>
      <c r="K95" s="3" t="s">
        <v>58</v>
      </c>
      <c r="L95" s="3" t="s">
        <v>613</v>
      </c>
      <c r="M95" s="3" t="s">
        <v>58</v>
      </c>
      <c r="N95" s="3" t="s">
        <v>614</v>
      </c>
      <c r="O95" s="3">
        <v>0</v>
      </c>
      <c r="P95" s="3">
        <v>11</v>
      </c>
      <c r="Q95" s="3" t="s">
        <v>60</v>
      </c>
      <c r="R95" s="3" t="s">
        <v>61</v>
      </c>
      <c r="S95" s="3">
        <v>652</v>
      </c>
      <c r="T95" s="3">
        <v>114</v>
      </c>
      <c r="U95" s="3">
        <v>538</v>
      </c>
      <c r="V95" s="3">
        <v>176</v>
      </c>
      <c r="W95" s="3">
        <v>5</v>
      </c>
      <c r="X95" s="3" t="s">
        <v>108</v>
      </c>
      <c r="Y95" s="3">
        <v>1</v>
      </c>
      <c r="Z95" s="3">
        <v>4</v>
      </c>
      <c r="AA95" s="3">
        <v>1</v>
      </c>
      <c r="AB95" s="3">
        <v>2</v>
      </c>
      <c r="AC95" s="3">
        <v>81</v>
      </c>
      <c r="AD95" s="3">
        <v>12</v>
      </c>
      <c r="AE95" s="3">
        <v>14</v>
      </c>
      <c r="AF95" s="3" t="s">
        <v>0</v>
      </c>
      <c r="AG95" s="3" t="s">
        <v>49</v>
      </c>
    </row>
    <row r="96" spans="1:33" ht="127.5" x14ac:dyDescent="0.2">
      <c r="A96" s="5" t="str">
        <f>HYPERLINK("http://www.patentics.cn/invokexml.do?sf=ShowPatent&amp;spn=US9209934&amp;sv=7c83b00399467ba9461dd5a953f2b76e","US9209934")</f>
        <v>US9209934</v>
      </c>
      <c r="B96" s="3" t="s">
        <v>615</v>
      </c>
      <c r="C96" s="3" t="s">
        <v>608</v>
      </c>
      <c r="D96" s="3" t="s">
        <v>52</v>
      </c>
      <c r="E96" s="3" t="s">
        <v>52</v>
      </c>
      <c r="F96" s="3" t="s">
        <v>609</v>
      </c>
      <c r="G96" s="3" t="s">
        <v>584</v>
      </c>
      <c r="H96" s="3" t="s">
        <v>610</v>
      </c>
      <c r="I96" s="3" t="s">
        <v>616</v>
      </c>
      <c r="J96" s="3" t="s">
        <v>283</v>
      </c>
      <c r="K96" s="3" t="s">
        <v>95</v>
      </c>
      <c r="L96" s="3" t="s">
        <v>563</v>
      </c>
      <c r="M96" s="3" t="s">
        <v>58</v>
      </c>
      <c r="N96" s="3" t="s">
        <v>614</v>
      </c>
      <c r="O96" s="3">
        <v>0</v>
      </c>
      <c r="P96" s="3">
        <v>0</v>
      </c>
      <c r="Q96" s="3" t="s">
        <v>60</v>
      </c>
      <c r="R96" s="3" t="s">
        <v>61</v>
      </c>
      <c r="S96" s="3">
        <v>641</v>
      </c>
      <c r="T96" s="3">
        <v>118</v>
      </c>
      <c r="U96" s="3">
        <v>523</v>
      </c>
      <c r="V96" s="3">
        <v>176</v>
      </c>
      <c r="W96" s="3">
        <v>1</v>
      </c>
      <c r="X96" s="3" t="s">
        <v>147</v>
      </c>
      <c r="Y96" s="3">
        <v>1</v>
      </c>
      <c r="Z96" s="3">
        <v>0</v>
      </c>
      <c r="AA96" s="3">
        <v>1</v>
      </c>
      <c r="AB96" s="3">
        <v>1</v>
      </c>
      <c r="AC96" s="3">
        <v>81</v>
      </c>
      <c r="AD96" s="3">
        <v>12</v>
      </c>
      <c r="AE96" s="3">
        <v>14</v>
      </c>
      <c r="AF96" s="3" t="s">
        <v>0</v>
      </c>
      <c r="AG96" s="3" t="s">
        <v>49</v>
      </c>
    </row>
    <row r="97" spans="1:33" ht="76.5" x14ac:dyDescent="0.2">
      <c r="A97" s="5" t="str">
        <f>HYPERLINK("http://www.patentics.cn/invokexml.do?sf=ShowPatent&amp;spn=US9236885&amp;sv=e62cd186efd998449a8c4680a8be0db6","US9236885")</f>
        <v>US9236885</v>
      </c>
      <c r="B97" s="3" t="s">
        <v>617</v>
      </c>
      <c r="C97" s="3" t="s">
        <v>618</v>
      </c>
      <c r="D97" s="3" t="s">
        <v>52</v>
      </c>
      <c r="E97" s="3" t="s">
        <v>52</v>
      </c>
      <c r="F97" s="3" t="s">
        <v>619</v>
      </c>
      <c r="G97" s="3" t="s">
        <v>620</v>
      </c>
      <c r="H97" s="3" t="s">
        <v>621</v>
      </c>
      <c r="I97" s="3" t="s">
        <v>622</v>
      </c>
      <c r="J97" s="3" t="s">
        <v>623</v>
      </c>
      <c r="K97" s="3" t="s">
        <v>95</v>
      </c>
      <c r="L97" s="3" t="s">
        <v>624</v>
      </c>
      <c r="M97" s="3" t="s">
        <v>95</v>
      </c>
      <c r="N97" s="3" t="s">
        <v>625</v>
      </c>
      <c r="O97" s="3">
        <v>0</v>
      </c>
      <c r="P97" s="3">
        <v>17</v>
      </c>
      <c r="Q97" s="3" t="s">
        <v>60</v>
      </c>
      <c r="R97" s="3" t="s">
        <v>61</v>
      </c>
      <c r="S97" s="3">
        <v>645</v>
      </c>
      <c r="T97" s="3">
        <v>118</v>
      </c>
      <c r="U97" s="3">
        <v>527</v>
      </c>
      <c r="V97" s="3">
        <v>176</v>
      </c>
      <c r="W97" s="3">
        <v>0</v>
      </c>
      <c r="X97" s="3" t="s">
        <v>147</v>
      </c>
      <c r="Y97" s="3">
        <v>0</v>
      </c>
      <c r="Z97" s="3">
        <v>0</v>
      </c>
      <c r="AA97" s="3">
        <v>0</v>
      </c>
      <c r="AB97" s="3">
        <v>0</v>
      </c>
      <c r="AC97" s="3">
        <v>25</v>
      </c>
      <c r="AD97" s="3">
        <v>7</v>
      </c>
      <c r="AE97" s="3">
        <v>14</v>
      </c>
      <c r="AF97" s="3" t="s">
        <v>0</v>
      </c>
      <c r="AG97" s="3" t="s">
        <v>49</v>
      </c>
    </row>
    <row r="98" spans="1:33" ht="76.5" x14ac:dyDescent="0.2">
      <c r="A98" s="5" t="str">
        <f>HYPERLINK("http://www.patentics.cn/invokexml.do?sf=ShowPatent&amp;spn=US9236887&amp;sv=ae387ca28b47bd9f8c1a416025dcd1f3","US9236887")</f>
        <v>US9236887</v>
      </c>
      <c r="B98" s="3" t="s">
        <v>626</v>
      </c>
      <c r="C98" s="3" t="s">
        <v>582</v>
      </c>
      <c r="D98" s="3" t="s">
        <v>52</v>
      </c>
      <c r="E98" s="3" t="s">
        <v>52</v>
      </c>
      <c r="F98" s="3" t="s">
        <v>583</v>
      </c>
      <c r="G98" s="3" t="s">
        <v>584</v>
      </c>
      <c r="H98" s="3" t="s">
        <v>585</v>
      </c>
      <c r="I98" s="3" t="s">
        <v>627</v>
      </c>
      <c r="J98" s="3" t="s">
        <v>623</v>
      </c>
      <c r="K98" s="3" t="s">
        <v>555</v>
      </c>
      <c r="L98" s="3" t="s">
        <v>587</v>
      </c>
      <c r="M98" s="3" t="s">
        <v>95</v>
      </c>
      <c r="N98" s="3" t="s">
        <v>588</v>
      </c>
      <c r="O98" s="3">
        <v>0</v>
      </c>
      <c r="P98" s="3">
        <v>14</v>
      </c>
      <c r="Q98" s="3" t="s">
        <v>60</v>
      </c>
      <c r="R98" s="3" t="s">
        <v>61</v>
      </c>
      <c r="S98" s="3">
        <v>602</v>
      </c>
      <c r="T98" s="3">
        <v>103</v>
      </c>
      <c r="U98" s="3">
        <v>499</v>
      </c>
      <c r="V98" s="3">
        <v>170</v>
      </c>
      <c r="W98" s="3">
        <v>6</v>
      </c>
      <c r="X98" s="3" t="s">
        <v>147</v>
      </c>
      <c r="Y98" s="3">
        <v>0</v>
      </c>
      <c r="Z98" s="3">
        <v>6</v>
      </c>
      <c r="AA98" s="3">
        <v>0</v>
      </c>
      <c r="AB98" s="3">
        <v>1</v>
      </c>
      <c r="AC98" s="3">
        <v>20</v>
      </c>
      <c r="AD98" s="3">
        <v>6</v>
      </c>
      <c r="AE98" s="3">
        <v>14</v>
      </c>
      <c r="AF98" s="3" t="s">
        <v>0</v>
      </c>
      <c r="AG98" s="3" t="s">
        <v>49</v>
      </c>
    </row>
    <row r="99" spans="1:33" ht="76.5" x14ac:dyDescent="0.2">
      <c r="A99" s="5" t="str">
        <f>HYPERLINK("http://www.patentics.cn/invokexml.do?sf=ShowPatent&amp;spn=US9236976&amp;sv=b40b8f9bfd32055361fe4458e7dcc556","US9236976")</f>
        <v>US9236976</v>
      </c>
      <c r="B99" s="3" t="s">
        <v>628</v>
      </c>
      <c r="C99" s="3" t="s">
        <v>629</v>
      </c>
      <c r="D99" s="3" t="s">
        <v>52</v>
      </c>
      <c r="E99" s="3" t="s">
        <v>52</v>
      </c>
      <c r="F99" s="3" t="s">
        <v>630</v>
      </c>
      <c r="G99" s="3" t="s">
        <v>560</v>
      </c>
      <c r="H99" s="3" t="s">
        <v>631</v>
      </c>
      <c r="I99" s="3" t="s">
        <v>632</v>
      </c>
      <c r="J99" s="3" t="s">
        <v>623</v>
      </c>
      <c r="K99" s="3" t="s">
        <v>333</v>
      </c>
      <c r="L99" s="3" t="s">
        <v>633</v>
      </c>
      <c r="M99" s="3" t="s">
        <v>58</v>
      </c>
      <c r="N99" s="3" t="s">
        <v>634</v>
      </c>
      <c r="O99" s="3">
        <v>0</v>
      </c>
      <c r="P99" s="3">
        <v>9</v>
      </c>
      <c r="Q99" s="3" t="s">
        <v>60</v>
      </c>
      <c r="R99" s="3" t="s">
        <v>61</v>
      </c>
      <c r="S99" s="3">
        <v>644</v>
      </c>
      <c r="T99" s="3">
        <v>111</v>
      </c>
      <c r="U99" s="3">
        <v>533</v>
      </c>
      <c r="V99" s="3">
        <v>177</v>
      </c>
      <c r="W99" s="3">
        <v>6</v>
      </c>
      <c r="X99" s="3" t="s">
        <v>147</v>
      </c>
      <c r="Y99" s="3">
        <v>0</v>
      </c>
      <c r="Z99" s="3">
        <v>6</v>
      </c>
      <c r="AA99" s="3">
        <v>0</v>
      </c>
      <c r="AB99" s="3">
        <v>1</v>
      </c>
      <c r="AC99" s="3">
        <v>26</v>
      </c>
      <c r="AD99" s="3">
        <v>8</v>
      </c>
      <c r="AE99" s="3">
        <v>14</v>
      </c>
      <c r="AF99" s="3" t="s">
        <v>0</v>
      </c>
      <c r="AG99" s="3" t="s">
        <v>49</v>
      </c>
    </row>
    <row r="100" spans="1:33" ht="114.75" x14ac:dyDescent="0.2">
      <c r="A100" s="5" t="str">
        <f>HYPERLINK("http://www.patentics.cn/invokexml.do?sf=ShowPatent&amp;spn=US9237101&amp;sv=aa88bac1f4ac73530fa1524aefa55fe5","US9237101")</f>
        <v>US9237101</v>
      </c>
      <c r="B100" s="3" t="s">
        <v>635</v>
      </c>
      <c r="C100" s="3" t="s">
        <v>636</v>
      </c>
      <c r="D100" s="3" t="s">
        <v>52</v>
      </c>
      <c r="E100" s="3" t="s">
        <v>52</v>
      </c>
      <c r="F100" s="3" t="s">
        <v>637</v>
      </c>
      <c r="G100" s="3" t="s">
        <v>638</v>
      </c>
      <c r="H100" s="3" t="s">
        <v>639</v>
      </c>
      <c r="I100" s="3" t="s">
        <v>640</v>
      </c>
      <c r="J100" s="3" t="s">
        <v>623</v>
      </c>
      <c r="K100" s="3" t="s">
        <v>70</v>
      </c>
      <c r="L100" s="3" t="s">
        <v>153</v>
      </c>
      <c r="M100" s="3" t="s">
        <v>58</v>
      </c>
      <c r="N100" s="3" t="s">
        <v>641</v>
      </c>
      <c r="O100" s="3">
        <v>0</v>
      </c>
      <c r="P100" s="3">
        <v>11</v>
      </c>
      <c r="Q100" s="3" t="s">
        <v>60</v>
      </c>
      <c r="R100" s="3" t="s">
        <v>61</v>
      </c>
      <c r="S100" s="3">
        <v>644</v>
      </c>
      <c r="T100" s="3">
        <v>110</v>
      </c>
      <c r="U100" s="3">
        <v>534</v>
      </c>
      <c r="V100" s="3">
        <v>178</v>
      </c>
      <c r="W100" s="3">
        <v>1</v>
      </c>
      <c r="X100" s="3" t="s">
        <v>108</v>
      </c>
      <c r="Y100" s="3">
        <v>0</v>
      </c>
      <c r="Z100" s="3">
        <v>1</v>
      </c>
      <c r="AA100" s="3">
        <v>1</v>
      </c>
      <c r="AB100" s="3">
        <v>1</v>
      </c>
      <c r="AC100" s="3">
        <v>16</v>
      </c>
      <c r="AD100" s="3">
        <v>12</v>
      </c>
      <c r="AE100" s="3">
        <v>14</v>
      </c>
      <c r="AF100" s="3" t="s">
        <v>0</v>
      </c>
      <c r="AG100" s="3" t="s">
        <v>49</v>
      </c>
    </row>
    <row r="101" spans="1:33" ht="76.5" x14ac:dyDescent="0.2">
      <c r="A101" s="5" t="str">
        <f>HYPERLINK("http://www.patentics.cn/invokexml.do?sf=ShowPatent&amp;spn=US9240810&amp;sv=e33e2a54da54e4c0cbe85f93233df802","US9240810")</f>
        <v>US9240810</v>
      </c>
      <c r="B101" s="3" t="s">
        <v>642</v>
      </c>
      <c r="C101" s="3" t="s">
        <v>643</v>
      </c>
      <c r="D101" s="3" t="s">
        <v>52</v>
      </c>
      <c r="E101" s="3" t="s">
        <v>52</v>
      </c>
      <c r="F101" s="3" t="s">
        <v>644</v>
      </c>
      <c r="G101" s="3" t="s">
        <v>645</v>
      </c>
      <c r="H101" s="3" t="s">
        <v>646</v>
      </c>
      <c r="I101" s="3" t="s">
        <v>647</v>
      </c>
      <c r="J101" s="3" t="s">
        <v>303</v>
      </c>
      <c r="K101" s="3" t="s">
        <v>95</v>
      </c>
      <c r="L101" s="3" t="s">
        <v>648</v>
      </c>
      <c r="M101" s="3" t="s">
        <v>95</v>
      </c>
      <c r="N101" s="3" t="s">
        <v>564</v>
      </c>
      <c r="O101" s="3">
        <v>0</v>
      </c>
      <c r="P101" s="3">
        <v>13</v>
      </c>
      <c r="Q101" s="3" t="s">
        <v>60</v>
      </c>
      <c r="R101" s="3" t="s">
        <v>61</v>
      </c>
      <c r="S101" s="3">
        <v>654</v>
      </c>
      <c r="T101" s="3">
        <v>117</v>
      </c>
      <c r="U101" s="3">
        <v>537</v>
      </c>
      <c r="V101" s="3">
        <v>179</v>
      </c>
      <c r="W101" s="3">
        <v>7</v>
      </c>
      <c r="X101" s="3" t="s">
        <v>74</v>
      </c>
      <c r="Y101" s="3">
        <v>0</v>
      </c>
      <c r="Z101" s="3">
        <v>7</v>
      </c>
      <c r="AA101" s="3">
        <v>1</v>
      </c>
      <c r="AB101" s="3">
        <v>2</v>
      </c>
      <c r="AC101" s="3">
        <v>34</v>
      </c>
      <c r="AD101" s="3">
        <v>8</v>
      </c>
      <c r="AE101" s="3">
        <v>14</v>
      </c>
      <c r="AF101" s="3" t="s">
        <v>0</v>
      </c>
      <c r="AG101" s="3" t="s">
        <v>49</v>
      </c>
    </row>
    <row r="102" spans="1:33" ht="38.25" x14ac:dyDescent="0.2">
      <c r="A102" s="5" t="str">
        <f>HYPERLINK("http://www.patentics.cn/invokexml.do?sf=ShowPatent&amp;spn=US9246633&amp;sv=4f758ab4084d0a7583ea24c82803cc27","US9246633")</f>
        <v>US9246633</v>
      </c>
      <c r="B102" s="3" t="s">
        <v>649</v>
      </c>
      <c r="C102" s="3" t="s">
        <v>650</v>
      </c>
      <c r="D102" s="3" t="s">
        <v>52</v>
      </c>
      <c r="E102" s="3" t="s">
        <v>52</v>
      </c>
      <c r="F102" s="3" t="s">
        <v>584</v>
      </c>
      <c r="G102" s="3" t="s">
        <v>584</v>
      </c>
      <c r="H102" s="3" t="s">
        <v>651</v>
      </c>
      <c r="I102" s="3" t="s">
        <v>652</v>
      </c>
      <c r="J102" s="3" t="s">
        <v>309</v>
      </c>
      <c r="K102" s="3" t="s">
        <v>95</v>
      </c>
      <c r="L102" s="3" t="s">
        <v>624</v>
      </c>
      <c r="M102" s="3" t="s">
        <v>58</v>
      </c>
      <c r="N102" s="3" t="s">
        <v>653</v>
      </c>
      <c r="O102" s="3">
        <v>0</v>
      </c>
      <c r="P102" s="3">
        <v>16</v>
      </c>
      <c r="Q102" s="3" t="s">
        <v>60</v>
      </c>
      <c r="R102" s="3" t="s">
        <v>61</v>
      </c>
      <c r="S102" s="3">
        <v>651</v>
      </c>
      <c r="T102" s="3">
        <v>116</v>
      </c>
      <c r="U102" s="3">
        <v>535</v>
      </c>
      <c r="V102" s="3">
        <v>177</v>
      </c>
      <c r="W102" s="3">
        <v>7</v>
      </c>
      <c r="X102" s="3" t="s">
        <v>403</v>
      </c>
      <c r="Y102" s="3">
        <v>0</v>
      </c>
      <c r="Z102" s="3">
        <v>7</v>
      </c>
      <c r="AA102" s="3">
        <v>1</v>
      </c>
      <c r="AB102" s="3">
        <v>2</v>
      </c>
      <c r="AC102" s="3">
        <v>47</v>
      </c>
      <c r="AD102" s="3">
        <v>13</v>
      </c>
      <c r="AE102" s="3">
        <v>14</v>
      </c>
      <c r="AF102" s="3" t="s">
        <v>0</v>
      </c>
      <c r="AG102" s="3" t="s">
        <v>49</v>
      </c>
    </row>
    <row r="103" spans="1:33" ht="76.5" x14ac:dyDescent="0.2">
      <c r="A103" s="5" t="str">
        <f>HYPERLINK("http://www.patentics.cn/invokexml.do?sf=ShowPatent&amp;spn=US9253233&amp;sv=01d06523fba07980d32a0527cfc7e3c0","US9253233")</f>
        <v>US9253233</v>
      </c>
      <c r="B103" s="3" t="s">
        <v>654</v>
      </c>
      <c r="C103" s="3" t="s">
        <v>655</v>
      </c>
      <c r="D103" s="3" t="s">
        <v>52</v>
      </c>
      <c r="E103" s="3" t="s">
        <v>52</v>
      </c>
      <c r="F103" s="3" t="s">
        <v>656</v>
      </c>
      <c r="G103" s="3" t="s">
        <v>657</v>
      </c>
      <c r="H103" s="3" t="s">
        <v>658</v>
      </c>
      <c r="I103" s="3" t="s">
        <v>433</v>
      </c>
      <c r="J103" s="3" t="s">
        <v>659</v>
      </c>
      <c r="K103" s="3" t="s">
        <v>555</v>
      </c>
      <c r="L103" s="3" t="s">
        <v>556</v>
      </c>
      <c r="M103" s="3" t="s">
        <v>58</v>
      </c>
      <c r="N103" s="3" t="s">
        <v>660</v>
      </c>
      <c r="O103" s="3">
        <v>0</v>
      </c>
      <c r="P103" s="3">
        <v>19</v>
      </c>
      <c r="Q103" s="3" t="s">
        <v>60</v>
      </c>
      <c r="R103" s="3" t="s">
        <v>61</v>
      </c>
      <c r="S103" s="3">
        <v>655</v>
      </c>
      <c r="T103" s="3">
        <v>118</v>
      </c>
      <c r="U103" s="3">
        <v>537</v>
      </c>
      <c r="V103" s="3">
        <v>178</v>
      </c>
      <c r="W103" s="3">
        <v>2</v>
      </c>
      <c r="X103" s="3" t="s">
        <v>189</v>
      </c>
      <c r="Y103" s="3">
        <v>0</v>
      </c>
      <c r="Z103" s="3">
        <v>2</v>
      </c>
      <c r="AA103" s="3">
        <v>2</v>
      </c>
      <c r="AB103" s="3">
        <v>1</v>
      </c>
      <c r="AC103" s="3">
        <v>7</v>
      </c>
      <c r="AD103" s="3">
        <v>6</v>
      </c>
      <c r="AE103" s="3">
        <v>14</v>
      </c>
      <c r="AF103" s="3" t="s">
        <v>0</v>
      </c>
      <c r="AG103" s="3" t="s">
        <v>49</v>
      </c>
    </row>
    <row r="104" spans="1:33" ht="63.75" x14ac:dyDescent="0.2">
      <c r="A104" s="5" t="str">
        <f>HYPERLINK("http://www.patentics.cn/invokexml.do?sf=ShowPatent&amp;spn=US9264069&amp;sv=2485e0332962eec4cb5cd2f669f2b6b9","US9264069")</f>
        <v>US9264069</v>
      </c>
      <c r="B104" s="3" t="s">
        <v>661</v>
      </c>
      <c r="C104" s="3" t="s">
        <v>662</v>
      </c>
      <c r="D104" s="3" t="s">
        <v>52</v>
      </c>
      <c r="E104" s="3" t="s">
        <v>52</v>
      </c>
      <c r="F104" s="3" t="s">
        <v>591</v>
      </c>
      <c r="G104" s="3" t="s">
        <v>576</v>
      </c>
      <c r="H104" s="3" t="s">
        <v>195</v>
      </c>
      <c r="I104" s="3" t="s">
        <v>663</v>
      </c>
      <c r="J104" s="3" t="s">
        <v>664</v>
      </c>
      <c r="K104" s="3" t="s">
        <v>95</v>
      </c>
      <c r="L104" s="3" t="s">
        <v>563</v>
      </c>
      <c r="M104" s="3" t="s">
        <v>95</v>
      </c>
      <c r="N104" s="3" t="s">
        <v>665</v>
      </c>
      <c r="O104" s="3">
        <v>0</v>
      </c>
      <c r="P104" s="3">
        <v>17</v>
      </c>
      <c r="Q104" s="3" t="s">
        <v>60</v>
      </c>
      <c r="R104" s="3" t="s">
        <v>61</v>
      </c>
      <c r="S104" s="3">
        <v>654</v>
      </c>
      <c r="T104" s="3">
        <v>117</v>
      </c>
      <c r="U104" s="3">
        <v>537</v>
      </c>
      <c r="V104" s="3">
        <v>179</v>
      </c>
      <c r="W104" s="3">
        <v>0</v>
      </c>
      <c r="X104" s="3" t="s">
        <v>147</v>
      </c>
      <c r="Y104" s="3">
        <v>0</v>
      </c>
      <c r="Z104" s="3">
        <v>0</v>
      </c>
      <c r="AA104" s="3">
        <v>0</v>
      </c>
      <c r="AB104" s="3">
        <v>0</v>
      </c>
      <c r="AC104" s="3">
        <v>4</v>
      </c>
      <c r="AD104" s="3">
        <v>2</v>
      </c>
      <c r="AE104" s="3">
        <v>14</v>
      </c>
      <c r="AF104" s="3" t="s">
        <v>0</v>
      </c>
      <c r="AG104" s="3" t="s">
        <v>49</v>
      </c>
    </row>
    <row r="105" spans="1:33" ht="153" x14ac:dyDescent="0.2">
      <c r="A105" s="5" t="str">
        <f>HYPERLINK("http://www.patentics.cn/invokexml.do?sf=ShowPatent&amp;spn=US9270299&amp;sv=69673079f3d3e3c527af7e1e782109df","US9270299")</f>
        <v>US9270299</v>
      </c>
      <c r="B105" s="3" t="s">
        <v>666</v>
      </c>
      <c r="C105" s="3" t="s">
        <v>667</v>
      </c>
      <c r="D105" s="3" t="s">
        <v>52</v>
      </c>
      <c r="E105" s="3" t="s">
        <v>52</v>
      </c>
      <c r="F105" s="3" t="s">
        <v>668</v>
      </c>
      <c r="G105" s="3" t="s">
        <v>584</v>
      </c>
      <c r="H105" s="3" t="s">
        <v>577</v>
      </c>
      <c r="I105" s="3" t="s">
        <v>577</v>
      </c>
      <c r="J105" s="3" t="s">
        <v>669</v>
      </c>
      <c r="K105" s="3" t="s">
        <v>95</v>
      </c>
      <c r="L105" s="3" t="s">
        <v>563</v>
      </c>
      <c r="M105" s="3" t="s">
        <v>95</v>
      </c>
      <c r="N105" s="3" t="s">
        <v>564</v>
      </c>
      <c r="O105" s="3">
        <v>0</v>
      </c>
      <c r="P105" s="3">
        <v>22</v>
      </c>
      <c r="Q105" s="3" t="s">
        <v>60</v>
      </c>
      <c r="R105" s="3" t="s">
        <v>61</v>
      </c>
      <c r="S105" s="3">
        <v>614</v>
      </c>
      <c r="T105" s="3">
        <v>112</v>
      </c>
      <c r="U105" s="3">
        <v>502</v>
      </c>
      <c r="V105" s="3">
        <v>171</v>
      </c>
      <c r="W105" s="3">
        <v>2</v>
      </c>
      <c r="X105" s="3" t="s">
        <v>670</v>
      </c>
      <c r="Y105" s="3">
        <v>0</v>
      </c>
      <c r="Z105" s="3">
        <v>2</v>
      </c>
      <c r="AA105" s="3">
        <v>2</v>
      </c>
      <c r="AB105" s="3">
        <v>2</v>
      </c>
      <c r="AC105" s="3">
        <v>8</v>
      </c>
      <c r="AD105" s="3">
        <v>6</v>
      </c>
      <c r="AE105" s="3">
        <v>14</v>
      </c>
      <c r="AF105" s="3" t="s">
        <v>0</v>
      </c>
      <c r="AG105" s="3" t="s">
        <v>49</v>
      </c>
    </row>
    <row r="106" spans="1:33" ht="89.25" x14ac:dyDescent="0.2">
      <c r="A106" s="5" t="str">
        <f>HYPERLINK("http://www.patentics.cn/invokexml.do?sf=ShowPatent&amp;spn=US9270414&amp;sv=1ed80410d1dda8900129f1983351ccd0","US9270414")</f>
        <v>US9270414</v>
      </c>
      <c r="B106" s="3" t="s">
        <v>671</v>
      </c>
      <c r="C106" s="3" t="s">
        <v>672</v>
      </c>
      <c r="D106" s="3" t="s">
        <v>52</v>
      </c>
      <c r="E106" s="3" t="s">
        <v>52</v>
      </c>
      <c r="F106" s="3" t="s">
        <v>673</v>
      </c>
      <c r="G106" s="3" t="s">
        <v>560</v>
      </c>
      <c r="H106" s="3" t="s">
        <v>674</v>
      </c>
      <c r="I106" s="3" t="s">
        <v>593</v>
      </c>
      <c r="J106" s="3" t="s">
        <v>669</v>
      </c>
      <c r="K106" s="3" t="s">
        <v>675</v>
      </c>
      <c r="L106" s="3" t="s">
        <v>676</v>
      </c>
      <c r="M106" s="3" t="s">
        <v>58</v>
      </c>
      <c r="N106" s="3" t="s">
        <v>634</v>
      </c>
      <c r="O106" s="3">
        <v>0</v>
      </c>
      <c r="P106" s="3">
        <v>20</v>
      </c>
      <c r="Q106" s="3" t="s">
        <v>60</v>
      </c>
      <c r="R106" s="3" t="s">
        <v>61</v>
      </c>
      <c r="S106" s="3">
        <v>650</v>
      </c>
      <c r="T106" s="3">
        <v>117</v>
      </c>
      <c r="U106" s="3">
        <v>533</v>
      </c>
      <c r="V106" s="3">
        <v>177</v>
      </c>
      <c r="W106" s="3">
        <v>0</v>
      </c>
      <c r="X106" s="3" t="s">
        <v>147</v>
      </c>
      <c r="Y106" s="3">
        <v>0</v>
      </c>
      <c r="Z106" s="3">
        <v>0</v>
      </c>
      <c r="AA106" s="3">
        <v>0</v>
      </c>
      <c r="AB106" s="3">
        <v>0</v>
      </c>
      <c r="AC106" s="3">
        <v>11</v>
      </c>
      <c r="AD106" s="3">
        <v>6</v>
      </c>
      <c r="AE106" s="3">
        <v>14</v>
      </c>
      <c r="AF106" s="3" t="s">
        <v>0</v>
      </c>
      <c r="AG106" s="3" t="s">
        <v>49</v>
      </c>
    </row>
    <row r="107" spans="1:33" ht="114.75" x14ac:dyDescent="0.2">
      <c r="A107" s="5" t="str">
        <f>HYPERLINK("http://www.patentics.cn/invokexml.do?sf=ShowPatent&amp;spn=US9281847&amp;sv=c30501968091e30e0858b908c894a275","US9281847")</f>
        <v>US9281847</v>
      </c>
      <c r="B107" s="3" t="s">
        <v>677</v>
      </c>
      <c r="C107" s="3" t="s">
        <v>678</v>
      </c>
      <c r="D107" s="3" t="s">
        <v>52</v>
      </c>
      <c r="E107" s="3" t="s">
        <v>52</v>
      </c>
      <c r="F107" s="3" t="s">
        <v>679</v>
      </c>
      <c r="G107" s="3" t="s">
        <v>680</v>
      </c>
      <c r="H107" s="3" t="s">
        <v>681</v>
      </c>
      <c r="I107" s="3" t="s">
        <v>682</v>
      </c>
      <c r="J107" s="3" t="s">
        <v>683</v>
      </c>
      <c r="K107" s="3" t="s">
        <v>95</v>
      </c>
      <c r="L107" s="3" t="s">
        <v>684</v>
      </c>
      <c r="M107" s="3" t="s">
        <v>95</v>
      </c>
      <c r="N107" s="3" t="s">
        <v>564</v>
      </c>
      <c r="O107" s="3">
        <v>0</v>
      </c>
      <c r="P107" s="3">
        <v>27</v>
      </c>
      <c r="Q107" s="3" t="s">
        <v>60</v>
      </c>
      <c r="R107" s="3" t="s">
        <v>61</v>
      </c>
      <c r="S107" s="3">
        <v>604</v>
      </c>
      <c r="T107" s="3">
        <v>103</v>
      </c>
      <c r="U107" s="3">
        <v>501</v>
      </c>
      <c r="V107" s="3">
        <v>170</v>
      </c>
      <c r="W107" s="3">
        <v>0</v>
      </c>
      <c r="X107" s="3" t="s">
        <v>147</v>
      </c>
      <c r="Y107" s="3">
        <v>0</v>
      </c>
      <c r="Z107" s="3">
        <v>0</v>
      </c>
      <c r="AA107" s="3">
        <v>0</v>
      </c>
      <c r="AB107" s="3">
        <v>0</v>
      </c>
      <c r="AC107" s="3">
        <v>9</v>
      </c>
      <c r="AD107" s="3">
        <v>7</v>
      </c>
      <c r="AE107" s="3">
        <v>14</v>
      </c>
      <c r="AF107" s="3" t="s">
        <v>0</v>
      </c>
      <c r="AG107" s="3" t="s">
        <v>49</v>
      </c>
    </row>
    <row r="108" spans="1:33" ht="38.25" x14ac:dyDescent="0.2">
      <c r="A108" s="5" t="str">
        <f>HYPERLINK("http://www.patentics.cn/invokexml.do?sf=ShowPatent&amp;spn=US9288010&amp;sv=bc67605569cfcb61fe6a64ba84c31582","US9288010")</f>
        <v>US9288010</v>
      </c>
      <c r="B108" s="3" t="s">
        <v>685</v>
      </c>
      <c r="C108" s="3" t="s">
        <v>686</v>
      </c>
      <c r="D108" s="3" t="s">
        <v>52</v>
      </c>
      <c r="E108" s="3" t="s">
        <v>52</v>
      </c>
      <c r="F108" s="3" t="s">
        <v>584</v>
      </c>
      <c r="G108" s="3" t="s">
        <v>584</v>
      </c>
      <c r="H108" s="3" t="s">
        <v>687</v>
      </c>
      <c r="I108" s="3" t="s">
        <v>688</v>
      </c>
      <c r="J108" s="3" t="s">
        <v>689</v>
      </c>
      <c r="K108" s="3" t="s">
        <v>58</v>
      </c>
      <c r="L108" s="3" t="s">
        <v>289</v>
      </c>
      <c r="M108" s="3" t="s">
        <v>58</v>
      </c>
      <c r="N108" s="3" t="s">
        <v>690</v>
      </c>
      <c r="O108" s="3">
        <v>0</v>
      </c>
      <c r="P108" s="3">
        <v>29</v>
      </c>
      <c r="Q108" s="3" t="s">
        <v>60</v>
      </c>
      <c r="R108" s="3" t="s">
        <v>61</v>
      </c>
      <c r="S108" s="3">
        <v>617</v>
      </c>
      <c r="T108" s="3">
        <v>119</v>
      </c>
      <c r="U108" s="3">
        <v>498</v>
      </c>
      <c r="V108" s="3">
        <v>170</v>
      </c>
      <c r="W108" s="3">
        <v>2</v>
      </c>
      <c r="X108" s="3" t="s">
        <v>468</v>
      </c>
      <c r="Y108" s="3">
        <v>0</v>
      </c>
      <c r="Z108" s="3">
        <v>2</v>
      </c>
      <c r="AA108" s="3">
        <v>2</v>
      </c>
      <c r="AB108" s="3">
        <v>1</v>
      </c>
      <c r="AC108" s="3">
        <v>10</v>
      </c>
      <c r="AD108" s="3">
        <v>6</v>
      </c>
      <c r="AE108" s="3">
        <v>14</v>
      </c>
      <c r="AF108" s="3" t="s">
        <v>0</v>
      </c>
      <c r="AG108" s="3" t="s">
        <v>49</v>
      </c>
    </row>
    <row r="109" spans="1:33" ht="89.25" x14ac:dyDescent="0.2">
      <c r="A109" s="5" t="str">
        <f>HYPERLINK("http://www.patentics.cn/invokexml.do?sf=ShowPatent&amp;spn=US9294226&amp;sv=3c5ccfef117e2e74ce4847cca40a6406","US9294226")</f>
        <v>US9294226</v>
      </c>
      <c r="B109" s="3" t="s">
        <v>691</v>
      </c>
      <c r="C109" s="3" t="s">
        <v>692</v>
      </c>
      <c r="D109" s="3" t="s">
        <v>52</v>
      </c>
      <c r="E109" s="3" t="s">
        <v>52</v>
      </c>
      <c r="F109" s="3" t="s">
        <v>693</v>
      </c>
      <c r="G109" s="3" t="s">
        <v>657</v>
      </c>
      <c r="H109" s="3" t="s">
        <v>694</v>
      </c>
      <c r="I109" s="3" t="s">
        <v>695</v>
      </c>
      <c r="J109" s="3" t="s">
        <v>696</v>
      </c>
      <c r="K109" s="3" t="s">
        <v>95</v>
      </c>
      <c r="L109" s="3" t="s">
        <v>684</v>
      </c>
      <c r="M109" s="3" t="s">
        <v>58</v>
      </c>
      <c r="N109" s="3" t="s">
        <v>653</v>
      </c>
      <c r="O109" s="3">
        <v>0</v>
      </c>
      <c r="P109" s="3">
        <v>13</v>
      </c>
      <c r="Q109" s="3" t="s">
        <v>60</v>
      </c>
      <c r="R109" s="3" t="s">
        <v>61</v>
      </c>
      <c r="S109" s="3">
        <v>606</v>
      </c>
      <c r="T109" s="3">
        <v>105</v>
      </c>
      <c r="U109" s="3">
        <v>501</v>
      </c>
      <c r="V109" s="3">
        <v>170</v>
      </c>
      <c r="W109" s="3">
        <v>1</v>
      </c>
      <c r="X109" s="3" t="s">
        <v>74</v>
      </c>
      <c r="Y109" s="3">
        <v>0</v>
      </c>
      <c r="Z109" s="3">
        <v>1</v>
      </c>
      <c r="AA109" s="3">
        <v>1</v>
      </c>
      <c r="AB109" s="3">
        <v>1</v>
      </c>
      <c r="AC109" s="3">
        <v>5</v>
      </c>
      <c r="AD109" s="3">
        <v>4</v>
      </c>
      <c r="AE109" s="3">
        <v>14</v>
      </c>
      <c r="AF109" s="3" t="s">
        <v>0</v>
      </c>
      <c r="AG109" s="3" t="s">
        <v>49</v>
      </c>
    </row>
    <row r="110" spans="1:33" ht="76.5" x14ac:dyDescent="0.2">
      <c r="A110" s="5" t="str">
        <f>HYPERLINK("http://www.patentics.cn/invokexml.do?sf=ShowPatent&amp;spn=US9319448&amp;sv=fb9fc9d941e7e6a808d0c6cc6f367d7a","US9319448")</f>
        <v>US9319448</v>
      </c>
      <c r="B110" s="3" t="s">
        <v>697</v>
      </c>
      <c r="C110" s="3" t="s">
        <v>698</v>
      </c>
      <c r="D110" s="3" t="s">
        <v>52</v>
      </c>
      <c r="E110" s="3" t="s">
        <v>52</v>
      </c>
      <c r="F110" s="3" t="s">
        <v>550</v>
      </c>
      <c r="G110" s="3" t="s">
        <v>551</v>
      </c>
      <c r="H110" s="3" t="s">
        <v>552</v>
      </c>
      <c r="I110" s="3" t="s">
        <v>553</v>
      </c>
      <c r="J110" s="3" t="s">
        <v>699</v>
      </c>
      <c r="K110" s="3" t="s">
        <v>555</v>
      </c>
      <c r="L110" s="3" t="s">
        <v>556</v>
      </c>
      <c r="M110" s="3" t="s">
        <v>58</v>
      </c>
      <c r="N110" s="3" t="s">
        <v>557</v>
      </c>
      <c r="O110" s="3">
        <v>0</v>
      </c>
      <c r="P110" s="3">
        <v>22</v>
      </c>
      <c r="Q110" s="3" t="s">
        <v>60</v>
      </c>
      <c r="R110" s="3" t="s">
        <v>61</v>
      </c>
      <c r="S110" s="3">
        <v>648</v>
      </c>
      <c r="T110" s="3">
        <v>95</v>
      </c>
      <c r="U110" s="3">
        <v>553</v>
      </c>
      <c r="V110" s="3">
        <v>179</v>
      </c>
      <c r="W110" s="3">
        <v>1</v>
      </c>
      <c r="X110" s="3" t="s">
        <v>74</v>
      </c>
      <c r="Y110" s="3">
        <v>0</v>
      </c>
      <c r="Z110" s="3">
        <v>1</v>
      </c>
      <c r="AA110" s="3">
        <v>1</v>
      </c>
      <c r="AB110" s="3">
        <v>1</v>
      </c>
      <c r="AC110" s="3">
        <v>63</v>
      </c>
      <c r="AD110" s="3">
        <v>16</v>
      </c>
      <c r="AE110" s="3">
        <v>14</v>
      </c>
      <c r="AF110" s="3" t="s">
        <v>0</v>
      </c>
      <c r="AG110" s="3" t="s">
        <v>49</v>
      </c>
    </row>
    <row r="111" spans="1:33" ht="204" x14ac:dyDescent="0.2">
      <c r="A111" s="5" t="str">
        <f>HYPERLINK("http://www.patentics.cn/invokexml.do?sf=ShowPatent&amp;spn=US9380096&amp;sv=8d649f130fef339a44572483f86eb805","US9380096")</f>
        <v>US9380096</v>
      </c>
      <c r="B111" s="3" t="s">
        <v>700</v>
      </c>
      <c r="C111" s="3" t="s">
        <v>701</v>
      </c>
      <c r="D111" s="3" t="s">
        <v>52</v>
      </c>
      <c r="E111" s="3" t="s">
        <v>52</v>
      </c>
      <c r="F111" s="3" t="s">
        <v>702</v>
      </c>
      <c r="G111" s="3" t="s">
        <v>584</v>
      </c>
      <c r="H111" s="3" t="s">
        <v>610</v>
      </c>
      <c r="I111" s="3" t="s">
        <v>703</v>
      </c>
      <c r="J111" s="3" t="s">
        <v>704</v>
      </c>
      <c r="K111" s="3" t="s">
        <v>555</v>
      </c>
      <c r="L111" s="3" t="s">
        <v>556</v>
      </c>
      <c r="M111" s="3" t="s">
        <v>58</v>
      </c>
      <c r="N111" s="3" t="s">
        <v>557</v>
      </c>
      <c r="O111" s="3">
        <v>0</v>
      </c>
      <c r="P111" s="3">
        <v>19</v>
      </c>
      <c r="Q111" s="3" t="s">
        <v>60</v>
      </c>
      <c r="R111" s="3" t="s">
        <v>61</v>
      </c>
      <c r="S111" s="3">
        <v>660</v>
      </c>
      <c r="T111" s="3">
        <v>106</v>
      </c>
      <c r="U111" s="3">
        <v>554</v>
      </c>
      <c r="V111" s="3">
        <v>179</v>
      </c>
      <c r="W111" s="3">
        <v>1</v>
      </c>
      <c r="X111" s="3" t="s">
        <v>108</v>
      </c>
      <c r="Y111" s="3">
        <v>0</v>
      </c>
      <c r="Z111" s="3">
        <v>1</v>
      </c>
      <c r="AA111" s="3">
        <v>1</v>
      </c>
      <c r="AB111" s="3">
        <v>1</v>
      </c>
      <c r="AC111" s="3">
        <v>81</v>
      </c>
      <c r="AD111" s="3">
        <v>12</v>
      </c>
      <c r="AE111" s="3">
        <v>14</v>
      </c>
      <c r="AF111" s="3" t="s">
        <v>0</v>
      </c>
      <c r="AG111" s="3" t="s">
        <v>49</v>
      </c>
    </row>
    <row r="112" spans="1:33" ht="153" x14ac:dyDescent="0.2">
      <c r="A112" s="5" t="str">
        <f>HYPERLINK("http://www.patentics.cn/invokexml.do?sf=ShowPatent&amp;spn=US9386064&amp;sv=1f941ef348d5aef72526da7f7e356e4e","US9386064")</f>
        <v>US9386064</v>
      </c>
      <c r="B112" s="3" t="s">
        <v>705</v>
      </c>
      <c r="C112" s="3" t="s">
        <v>706</v>
      </c>
      <c r="D112" s="3" t="s">
        <v>52</v>
      </c>
      <c r="E112" s="3" t="s">
        <v>52</v>
      </c>
      <c r="F112" s="3" t="s">
        <v>707</v>
      </c>
      <c r="G112" s="3" t="s">
        <v>584</v>
      </c>
      <c r="H112" s="3" t="s">
        <v>610</v>
      </c>
      <c r="I112" s="3" t="s">
        <v>616</v>
      </c>
      <c r="J112" s="3" t="s">
        <v>708</v>
      </c>
      <c r="K112" s="3" t="s">
        <v>555</v>
      </c>
      <c r="L112" s="3" t="s">
        <v>556</v>
      </c>
      <c r="M112" s="3" t="s">
        <v>58</v>
      </c>
      <c r="N112" s="3" t="s">
        <v>557</v>
      </c>
      <c r="O112" s="3">
        <v>0</v>
      </c>
      <c r="P112" s="3">
        <v>20</v>
      </c>
      <c r="Q112" s="3" t="s">
        <v>60</v>
      </c>
      <c r="R112" s="3" t="s">
        <v>61</v>
      </c>
      <c r="S112" s="3">
        <v>690</v>
      </c>
      <c r="T112" s="3">
        <v>120</v>
      </c>
      <c r="U112" s="3">
        <v>570</v>
      </c>
      <c r="V112" s="3">
        <v>184</v>
      </c>
      <c r="W112" s="3">
        <v>12</v>
      </c>
      <c r="X112" s="3" t="s">
        <v>147</v>
      </c>
      <c r="Y112" s="3">
        <v>0</v>
      </c>
      <c r="Z112" s="3">
        <v>12</v>
      </c>
      <c r="AA112" s="3">
        <v>0</v>
      </c>
      <c r="AB112" s="3">
        <v>1</v>
      </c>
      <c r="AC112" s="3">
        <v>81</v>
      </c>
      <c r="AD112" s="3">
        <v>12</v>
      </c>
      <c r="AE112" s="3">
        <v>14</v>
      </c>
      <c r="AF112" s="3" t="s">
        <v>0</v>
      </c>
      <c r="AG112" s="3" t="s">
        <v>49</v>
      </c>
    </row>
    <row r="113" spans="1:33" ht="114.75" x14ac:dyDescent="0.2">
      <c r="A113" s="5" t="str">
        <f>HYPERLINK("http://www.patentics.cn/invokexml.do?sf=ShowPatent&amp;spn=US9419749&amp;sv=c635a951cb14c40ed2ad76337c49e12a","US9419749")</f>
        <v>US9419749</v>
      </c>
      <c r="B113" s="3" t="s">
        <v>709</v>
      </c>
      <c r="C113" s="3" t="s">
        <v>710</v>
      </c>
      <c r="D113" s="3" t="s">
        <v>52</v>
      </c>
      <c r="E113" s="3" t="s">
        <v>52</v>
      </c>
      <c r="F113" s="3" t="s">
        <v>711</v>
      </c>
      <c r="G113" s="3" t="s">
        <v>584</v>
      </c>
      <c r="H113" s="3" t="s">
        <v>712</v>
      </c>
      <c r="I113" s="3" t="s">
        <v>713</v>
      </c>
      <c r="J113" s="3" t="s">
        <v>714</v>
      </c>
      <c r="K113" s="3" t="s">
        <v>95</v>
      </c>
      <c r="L113" s="3" t="s">
        <v>624</v>
      </c>
      <c r="M113" s="3" t="s">
        <v>58</v>
      </c>
      <c r="N113" s="3" t="s">
        <v>634</v>
      </c>
      <c r="O113" s="3">
        <v>0</v>
      </c>
      <c r="P113" s="3">
        <v>11</v>
      </c>
      <c r="Q113" s="3" t="s">
        <v>60</v>
      </c>
      <c r="R113" s="3" t="s">
        <v>61</v>
      </c>
      <c r="S113" s="3">
        <v>639</v>
      </c>
      <c r="T113" s="3">
        <v>123</v>
      </c>
      <c r="U113" s="3">
        <v>516</v>
      </c>
      <c r="V113" s="3">
        <v>176</v>
      </c>
      <c r="W113" s="3">
        <v>0</v>
      </c>
      <c r="X113" s="3" t="s">
        <v>147</v>
      </c>
      <c r="Y113" s="3">
        <v>0</v>
      </c>
      <c r="Z113" s="3">
        <v>0</v>
      </c>
      <c r="AA113" s="3">
        <v>0</v>
      </c>
      <c r="AB113" s="3">
        <v>0</v>
      </c>
      <c r="AC113" s="3">
        <v>27</v>
      </c>
      <c r="AD113" s="3">
        <v>11</v>
      </c>
      <c r="AE113" s="3">
        <v>14</v>
      </c>
      <c r="AF113" s="3" t="s">
        <v>0</v>
      </c>
      <c r="AG113" s="3" t="s">
        <v>49</v>
      </c>
    </row>
    <row r="114" spans="1:33" ht="165.75" x14ac:dyDescent="0.2">
      <c r="A114" s="5" t="str">
        <f>HYPERLINK("http://www.patentics.cn/invokexml.do?sf=ShowPatent&amp;spn=US9432433&amp;sv=2e1f7201901c35992aeda02eb59783ad","US9432433")</f>
        <v>US9432433</v>
      </c>
      <c r="B114" s="3" t="s">
        <v>715</v>
      </c>
      <c r="C114" s="3" t="s">
        <v>716</v>
      </c>
      <c r="D114" s="3" t="s">
        <v>52</v>
      </c>
      <c r="E114" s="3" t="s">
        <v>52</v>
      </c>
      <c r="F114" s="3" t="s">
        <v>717</v>
      </c>
      <c r="G114" s="3" t="s">
        <v>584</v>
      </c>
      <c r="H114" s="3" t="s">
        <v>610</v>
      </c>
      <c r="I114" s="3" t="s">
        <v>616</v>
      </c>
      <c r="J114" s="3" t="s">
        <v>718</v>
      </c>
      <c r="K114" s="3" t="s">
        <v>555</v>
      </c>
      <c r="L114" s="3" t="s">
        <v>556</v>
      </c>
      <c r="M114" s="3" t="s">
        <v>58</v>
      </c>
      <c r="N114" s="3" t="s">
        <v>557</v>
      </c>
      <c r="O114" s="3">
        <v>0</v>
      </c>
      <c r="P114" s="3">
        <v>10</v>
      </c>
      <c r="Q114" s="3" t="s">
        <v>60</v>
      </c>
      <c r="R114" s="3" t="s">
        <v>61</v>
      </c>
      <c r="S114" s="3">
        <v>691</v>
      </c>
      <c r="T114" s="3">
        <v>121</v>
      </c>
      <c r="U114" s="3">
        <v>570</v>
      </c>
      <c r="V114" s="3">
        <v>184</v>
      </c>
      <c r="W114" s="3">
        <v>12</v>
      </c>
      <c r="X114" s="3" t="s">
        <v>147</v>
      </c>
      <c r="Y114" s="3">
        <v>0</v>
      </c>
      <c r="Z114" s="3">
        <v>12</v>
      </c>
      <c r="AA114" s="3">
        <v>0</v>
      </c>
      <c r="AB114" s="3">
        <v>1</v>
      </c>
      <c r="AC114" s="3">
        <v>81</v>
      </c>
      <c r="AD114" s="3">
        <v>12</v>
      </c>
      <c r="AE114" s="3">
        <v>14</v>
      </c>
      <c r="AF114" s="3" t="s">
        <v>0</v>
      </c>
      <c r="AG114" s="3" t="s">
        <v>49</v>
      </c>
    </row>
    <row r="115" spans="1:33" ht="76.5" x14ac:dyDescent="0.2">
      <c r="A115" s="5" t="str">
        <f>HYPERLINK("http://www.patentics.cn/invokexml.do?sf=ShowPatent&amp;spn=US9456015&amp;sv=e65b0b26be2e07873e0d4430adf8775f","US9456015")</f>
        <v>US9456015</v>
      </c>
      <c r="B115" s="3" t="s">
        <v>719</v>
      </c>
      <c r="C115" s="3" t="s">
        <v>720</v>
      </c>
      <c r="D115" s="3" t="s">
        <v>52</v>
      </c>
      <c r="E115" s="3" t="s">
        <v>52</v>
      </c>
      <c r="F115" s="3" t="s">
        <v>550</v>
      </c>
      <c r="G115" s="3" t="s">
        <v>551</v>
      </c>
      <c r="H115" s="3" t="s">
        <v>552</v>
      </c>
      <c r="I115" s="3" t="s">
        <v>553</v>
      </c>
      <c r="J115" s="3" t="s">
        <v>721</v>
      </c>
      <c r="K115" s="3" t="s">
        <v>58</v>
      </c>
      <c r="L115" s="3" t="s">
        <v>722</v>
      </c>
      <c r="M115" s="3" t="s">
        <v>58</v>
      </c>
      <c r="N115" s="3" t="s">
        <v>557</v>
      </c>
      <c r="O115" s="3">
        <v>0</v>
      </c>
      <c r="P115" s="3">
        <v>12</v>
      </c>
      <c r="Q115" s="3" t="s">
        <v>60</v>
      </c>
      <c r="R115" s="3" t="s">
        <v>61</v>
      </c>
      <c r="S115" s="3">
        <v>657</v>
      </c>
      <c r="T115" s="3">
        <v>98</v>
      </c>
      <c r="U115" s="3">
        <v>559</v>
      </c>
      <c r="V115" s="3">
        <v>181</v>
      </c>
      <c r="W115" s="3">
        <v>0</v>
      </c>
      <c r="X115" s="3" t="s">
        <v>147</v>
      </c>
      <c r="Y115" s="3">
        <v>0</v>
      </c>
      <c r="Z115" s="3">
        <v>0</v>
      </c>
      <c r="AA115" s="3">
        <v>0</v>
      </c>
      <c r="AB115" s="3">
        <v>0</v>
      </c>
      <c r="AC115" s="3">
        <v>63</v>
      </c>
      <c r="AD115" s="3">
        <v>16</v>
      </c>
      <c r="AE115" s="3">
        <v>14</v>
      </c>
      <c r="AF115" s="3" t="s">
        <v>0</v>
      </c>
      <c r="AG115" s="3" t="s">
        <v>49</v>
      </c>
    </row>
    <row r="116" spans="1:33" ht="38.25" x14ac:dyDescent="0.2">
      <c r="A116" s="5" t="str">
        <f>HYPERLINK("http://www.patentics.cn/invokexml.do?sf=ShowPatent&amp;spn=US9485546&amp;sv=7c31eb292242809b70cbc651f1d44ccd","US9485546")</f>
        <v>US9485546</v>
      </c>
      <c r="B116" s="3" t="s">
        <v>723</v>
      </c>
      <c r="C116" s="3" t="s">
        <v>724</v>
      </c>
      <c r="D116" s="3" t="s">
        <v>52</v>
      </c>
      <c r="E116" s="3" t="s">
        <v>52</v>
      </c>
      <c r="F116" s="3" t="s">
        <v>568</v>
      </c>
      <c r="G116" s="3" t="s">
        <v>551</v>
      </c>
      <c r="H116" s="3" t="s">
        <v>725</v>
      </c>
      <c r="I116" s="3" t="s">
        <v>726</v>
      </c>
      <c r="J116" s="3" t="s">
        <v>727</v>
      </c>
      <c r="K116" s="3" t="s">
        <v>544</v>
      </c>
      <c r="L116" s="3" t="s">
        <v>728</v>
      </c>
      <c r="M116" s="3" t="s">
        <v>544</v>
      </c>
      <c r="N116" s="3" t="s">
        <v>729</v>
      </c>
      <c r="O116" s="3">
        <v>0</v>
      </c>
      <c r="P116" s="3">
        <v>20</v>
      </c>
      <c r="Q116" s="3" t="s">
        <v>60</v>
      </c>
      <c r="R116" s="3" t="s">
        <v>61</v>
      </c>
      <c r="S116" s="3">
        <v>402</v>
      </c>
      <c r="T116" s="3">
        <v>79</v>
      </c>
      <c r="U116" s="3">
        <v>323</v>
      </c>
      <c r="V116" s="3">
        <v>97</v>
      </c>
      <c r="W116" s="3">
        <v>0</v>
      </c>
      <c r="X116" s="3" t="s">
        <v>147</v>
      </c>
      <c r="Y116" s="3">
        <v>0</v>
      </c>
      <c r="Z116" s="3">
        <v>0</v>
      </c>
      <c r="AA116" s="3">
        <v>0</v>
      </c>
      <c r="AB116" s="3">
        <v>0</v>
      </c>
      <c r="AC116" s="3">
        <v>22</v>
      </c>
      <c r="AD116" s="3">
        <v>6</v>
      </c>
      <c r="AE116" s="3">
        <v>14</v>
      </c>
      <c r="AF116" s="3" t="s">
        <v>0</v>
      </c>
      <c r="AG116" s="3" t="s">
        <v>49</v>
      </c>
    </row>
    <row r="117" spans="1:33" ht="63.75" x14ac:dyDescent="0.2">
      <c r="A117" s="5" t="str">
        <f>HYPERLINK("http://www.patentics.cn/invokexml.do?sf=ShowPatent&amp;spn=US9596447&amp;sv=b5c241fc642b65bbd2ef474786abb041","US9596447")</f>
        <v>US9596447</v>
      </c>
      <c r="B117" s="3" t="s">
        <v>730</v>
      </c>
      <c r="C117" s="3" t="s">
        <v>731</v>
      </c>
      <c r="D117" s="3" t="s">
        <v>52</v>
      </c>
      <c r="E117" s="3" t="s">
        <v>52</v>
      </c>
      <c r="F117" s="3" t="s">
        <v>602</v>
      </c>
      <c r="G117" s="3" t="s">
        <v>551</v>
      </c>
      <c r="H117" s="3" t="s">
        <v>732</v>
      </c>
      <c r="I117" s="3" t="s">
        <v>733</v>
      </c>
      <c r="J117" s="3" t="s">
        <v>734</v>
      </c>
      <c r="K117" s="3" t="s">
        <v>544</v>
      </c>
      <c r="L117" s="3" t="s">
        <v>735</v>
      </c>
      <c r="M117" s="3" t="s">
        <v>544</v>
      </c>
      <c r="N117" s="3" t="s">
        <v>736</v>
      </c>
      <c r="O117" s="3">
        <v>0</v>
      </c>
      <c r="P117" s="3">
        <v>22</v>
      </c>
      <c r="Q117" s="3" t="s">
        <v>60</v>
      </c>
      <c r="R117" s="3" t="s">
        <v>61</v>
      </c>
      <c r="S117" s="3">
        <v>433</v>
      </c>
      <c r="T117" s="3">
        <v>63</v>
      </c>
      <c r="U117" s="3">
        <v>370</v>
      </c>
      <c r="V117" s="3">
        <v>114</v>
      </c>
      <c r="W117" s="3">
        <v>0</v>
      </c>
      <c r="X117" s="3" t="s">
        <v>147</v>
      </c>
      <c r="Y117" s="3">
        <v>0</v>
      </c>
      <c r="Z117" s="3">
        <v>0</v>
      </c>
      <c r="AA117" s="3">
        <v>0</v>
      </c>
      <c r="AB117" s="3">
        <v>0</v>
      </c>
      <c r="AC117" s="3">
        <v>2</v>
      </c>
      <c r="AD117" s="3">
        <v>1</v>
      </c>
      <c r="AE117" s="3">
        <v>14</v>
      </c>
      <c r="AF117" s="3" t="s">
        <v>0</v>
      </c>
      <c r="AG117" s="3" t="s">
        <v>49</v>
      </c>
    </row>
    <row r="118" spans="1:33" ht="63.75" x14ac:dyDescent="0.2">
      <c r="A118" s="5" t="str">
        <f>HYPERLINK("http://www.patentics.cn/invokexml.do?sf=ShowPatent&amp;spn=US9602802&amp;sv=cc881189fd3120f0d2e81f5d58b4b75d","US9602802")</f>
        <v>US9602802</v>
      </c>
      <c r="B118" s="3" t="s">
        <v>737</v>
      </c>
      <c r="C118" s="3" t="s">
        <v>731</v>
      </c>
      <c r="D118" s="3" t="s">
        <v>52</v>
      </c>
      <c r="E118" s="3" t="s">
        <v>52</v>
      </c>
      <c r="F118" s="3" t="s">
        <v>602</v>
      </c>
      <c r="G118" s="3" t="s">
        <v>551</v>
      </c>
      <c r="H118" s="3" t="s">
        <v>0</v>
      </c>
      <c r="I118" s="3" t="s">
        <v>738</v>
      </c>
      <c r="J118" s="3" t="s">
        <v>739</v>
      </c>
      <c r="K118" s="3" t="s">
        <v>544</v>
      </c>
      <c r="L118" s="3" t="s">
        <v>735</v>
      </c>
      <c r="M118" s="3" t="s">
        <v>544</v>
      </c>
      <c r="N118" s="3" t="s">
        <v>736</v>
      </c>
      <c r="O118" s="3">
        <v>0</v>
      </c>
      <c r="P118" s="3">
        <v>19</v>
      </c>
      <c r="Q118" s="3" t="s">
        <v>60</v>
      </c>
      <c r="R118" s="3" t="s">
        <v>61</v>
      </c>
      <c r="S118" s="3">
        <v>645</v>
      </c>
      <c r="T118" s="3">
        <v>107</v>
      </c>
      <c r="U118" s="3">
        <v>538</v>
      </c>
      <c r="V118" s="3">
        <v>179</v>
      </c>
      <c r="W118" s="3">
        <v>0</v>
      </c>
      <c r="X118" s="3" t="s">
        <v>147</v>
      </c>
      <c r="Y118" s="3">
        <v>0</v>
      </c>
      <c r="Z118" s="3">
        <v>0</v>
      </c>
      <c r="AA118" s="3">
        <v>0</v>
      </c>
      <c r="AB118" s="3">
        <v>0</v>
      </c>
      <c r="AC118" s="3">
        <v>0</v>
      </c>
      <c r="AD118" s="3">
        <v>0</v>
      </c>
      <c r="AE118" s="3">
        <v>14</v>
      </c>
      <c r="AF118" s="3" t="s">
        <v>0</v>
      </c>
      <c r="AG118" s="3" t="s">
        <v>49</v>
      </c>
    </row>
    <row r="119" spans="1:33" ht="127.5" x14ac:dyDescent="0.2">
      <c r="A119" s="5" t="str">
        <f>HYPERLINK("http://www.patentics.cn/invokexml.do?sf=ShowPatent&amp;spn=US9628536&amp;sv=368ca5c92d6f041ab7041e48860aa70f","US9628536")</f>
        <v>US9628536</v>
      </c>
      <c r="B119" s="3" t="s">
        <v>740</v>
      </c>
      <c r="C119" s="3" t="s">
        <v>608</v>
      </c>
      <c r="D119" s="3" t="s">
        <v>52</v>
      </c>
      <c r="E119" s="3" t="s">
        <v>52</v>
      </c>
      <c r="F119" s="3" t="s">
        <v>741</v>
      </c>
      <c r="G119" s="3" t="s">
        <v>742</v>
      </c>
      <c r="H119" s="3" t="s">
        <v>0</v>
      </c>
      <c r="I119" s="3" t="s">
        <v>743</v>
      </c>
      <c r="J119" s="3" t="s">
        <v>744</v>
      </c>
      <c r="K119" s="3" t="s">
        <v>95</v>
      </c>
      <c r="L119" s="3" t="s">
        <v>563</v>
      </c>
      <c r="M119" s="3" t="s">
        <v>58</v>
      </c>
      <c r="N119" s="3" t="s">
        <v>745</v>
      </c>
      <c r="O119" s="3">
        <v>0</v>
      </c>
      <c r="P119" s="3">
        <v>16</v>
      </c>
      <c r="Q119" s="3" t="s">
        <v>60</v>
      </c>
      <c r="R119" s="3" t="s">
        <v>61</v>
      </c>
      <c r="S119" s="3">
        <v>480</v>
      </c>
      <c r="T119" s="3">
        <v>90</v>
      </c>
      <c r="U119" s="3">
        <v>390</v>
      </c>
      <c r="V119" s="3">
        <v>116</v>
      </c>
      <c r="W119" s="3">
        <v>0</v>
      </c>
      <c r="X119" s="3" t="s">
        <v>147</v>
      </c>
      <c r="Y119" s="3">
        <v>0</v>
      </c>
      <c r="Z119" s="3">
        <v>0</v>
      </c>
      <c r="AA119" s="3">
        <v>0</v>
      </c>
      <c r="AB119" s="3">
        <v>0</v>
      </c>
      <c r="AC119" s="3">
        <v>0</v>
      </c>
      <c r="AD119" s="3">
        <v>0</v>
      </c>
      <c r="AE119" s="3">
        <v>14</v>
      </c>
      <c r="AF119" s="3" t="s">
        <v>0</v>
      </c>
      <c r="AG119" s="3" t="s">
        <v>49</v>
      </c>
    </row>
    <row r="120" spans="1:33" ht="25.5" x14ac:dyDescent="0.2">
      <c r="A120" s="4" t="str">
        <f>HYPERLINK("http://www.patentics.cn/invokexml.do?sf=ShowPatent&amp;spn=CN1545252&amp;sv=584c4f06072d18979a5dfcdf36f13d79","CN1545252")</f>
        <v>CN1545252</v>
      </c>
      <c r="B120" s="2" t="s">
        <v>746</v>
      </c>
      <c r="C120" s="2" t="s">
        <v>747</v>
      </c>
      <c r="D120" s="2" t="s">
        <v>38</v>
      </c>
      <c r="E120" s="2" t="s">
        <v>38</v>
      </c>
      <c r="F120" s="2" t="s">
        <v>748</v>
      </c>
      <c r="G120" s="2" t="s">
        <v>749</v>
      </c>
      <c r="H120" s="2" t="s">
        <v>750</v>
      </c>
      <c r="I120" s="2" t="s">
        <v>750</v>
      </c>
      <c r="J120" s="2" t="s">
        <v>751</v>
      </c>
      <c r="K120" s="2" t="s">
        <v>58</v>
      </c>
      <c r="L120" s="2" t="s">
        <v>752</v>
      </c>
      <c r="M120" s="2" t="s">
        <v>555</v>
      </c>
      <c r="N120" s="2" t="s">
        <v>753</v>
      </c>
      <c r="O120" s="2">
        <v>7</v>
      </c>
      <c r="P120" s="2">
        <v>31</v>
      </c>
      <c r="Q120" s="2" t="s">
        <v>46</v>
      </c>
      <c r="R120" s="2" t="s">
        <v>47</v>
      </c>
      <c r="S120" s="2">
        <v>0</v>
      </c>
      <c r="T120" s="2">
        <v>0</v>
      </c>
      <c r="U120" s="2">
        <v>0</v>
      </c>
      <c r="V120" s="2">
        <v>0</v>
      </c>
      <c r="W120" s="2">
        <v>34</v>
      </c>
      <c r="X120" s="2" t="s">
        <v>754</v>
      </c>
      <c r="Y120" s="2">
        <v>8</v>
      </c>
      <c r="Z120" s="2">
        <v>26</v>
      </c>
      <c r="AA120" s="2">
        <v>3</v>
      </c>
      <c r="AB120" s="2">
        <v>2</v>
      </c>
      <c r="AC120" s="2">
        <v>1</v>
      </c>
      <c r="AD120" s="2">
        <v>1</v>
      </c>
      <c r="AE120" s="2" t="s">
        <v>0</v>
      </c>
      <c r="AF120" s="2">
        <v>24</v>
      </c>
      <c r="AG120" s="2" t="s">
        <v>755</v>
      </c>
    </row>
    <row r="121" spans="1:33" ht="51" x14ac:dyDescent="0.2">
      <c r="A121" s="5" t="str">
        <f>HYPERLINK("http://www.patentics.cn/invokexml.do?sf=ShowPatent&amp;spn=US8437251&amp;sv=5e9e481cb9d407277adba079febc768e","US8437251")</f>
        <v>US8437251</v>
      </c>
      <c r="B121" s="3" t="s">
        <v>756</v>
      </c>
      <c r="C121" s="3" t="s">
        <v>757</v>
      </c>
      <c r="D121" s="3" t="s">
        <v>52</v>
      </c>
      <c r="E121" s="3" t="s">
        <v>52</v>
      </c>
      <c r="F121" s="3" t="s">
        <v>758</v>
      </c>
      <c r="G121" s="3" t="s">
        <v>759</v>
      </c>
      <c r="H121" s="3" t="s">
        <v>760</v>
      </c>
      <c r="I121" s="3" t="s">
        <v>761</v>
      </c>
      <c r="J121" s="3" t="s">
        <v>762</v>
      </c>
      <c r="K121" s="3" t="s">
        <v>58</v>
      </c>
      <c r="L121" s="3" t="s">
        <v>763</v>
      </c>
      <c r="M121" s="3" t="s">
        <v>82</v>
      </c>
      <c r="N121" s="3" t="s">
        <v>764</v>
      </c>
      <c r="O121" s="3">
        <v>0</v>
      </c>
      <c r="P121" s="3">
        <v>11</v>
      </c>
      <c r="Q121" s="3" t="s">
        <v>60</v>
      </c>
      <c r="R121" s="3" t="s">
        <v>61</v>
      </c>
      <c r="S121" s="3">
        <v>456</v>
      </c>
      <c r="T121" s="3">
        <v>43</v>
      </c>
      <c r="U121" s="3">
        <v>413</v>
      </c>
      <c r="V121" s="3">
        <v>93</v>
      </c>
      <c r="W121" s="3">
        <v>64</v>
      </c>
      <c r="X121" s="3" t="s">
        <v>155</v>
      </c>
      <c r="Y121" s="3">
        <v>20</v>
      </c>
      <c r="Z121" s="3">
        <v>44</v>
      </c>
      <c r="AA121" s="3">
        <v>1</v>
      </c>
      <c r="AB121" s="3">
        <v>2</v>
      </c>
      <c r="AC121" s="3">
        <v>420</v>
      </c>
      <c r="AD121" s="3">
        <v>17</v>
      </c>
      <c r="AE121" s="3">
        <v>14</v>
      </c>
      <c r="AF121" s="3" t="s">
        <v>0</v>
      </c>
      <c r="AG121" s="3" t="s">
        <v>49</v>
      </c>
    </row>
    <row r="122" spans="1:33" ht="127.5" x14ac:dyDescent="0.2">
      <c r="A122" s="5" t="str">
        <f>HYPERLINK("http://www.patentics.cn/invokexml.do?sf=ShowPatent&amp;spn=US8503938&amp;sv=bb033654f4a8a4c8af74e361e6d223ab","US8503938")</f>
        <v>US8503938</v>
      </c>
      <c r="B122" s="3" t="s">
        <v>765</v>
      </c>
      <c r="C122" s="3" t="s">
        <v>766</v>
      </c>
      <c r="D122" s="3" t="s">
        <v>52</v>
      </c>
      <c r="E122" s="3" t="s">
        <v>52</v>
      </c>
      <c r="F122" s="3" t="s">
        <v>767</v>
      </c>
      <c r="G122" s="3" t="s">
        <v>66</v>
      </c>
      <c r="H122" s="3" t="s">
        <v>768</v>
      </c>
      <c r="I122" s="3" t="s">
        <v>769</v>
      </c>
      <c r="J122" s="3" t="s">
        <v>770</v>
      </c>
      <c r="K122" s="3" t="s">
        <v>84</v>
      </c>
      <c r="L122" s="3" t="s">
        <v>771</v>
      </c>
      <c r="M122" s="3" t="s">
        <v>82</v>
      </c>
      <c r="N122" s="3" t="s">
        <v>772</v>
      </c>
      <c r="O122" s="3">
        <v>0</v>
      </c>
      <c r="P122" s="3">
        <v>10</v>
      </c>
      <c r="Q122" s="3" t="s">
        <v>60</v>
      </c>
      <c r="R122" s="3" t="s">
        <v>61</v>
      </c>
      <c r="S122" s="3">
        <v>461</v>
      </c>
      <c r="T122" s="3">
        <v>46</v>
      </c>
      <c r="U122" s="3">
        <v>415</v>
      </c>
      <c r="V122" s="3">
        <v>94</v>
      </c>
      <c r="W122" s="3">
        <v>32</v>
      </c>
      <c r="X122" s="3" t="s">
        <v>773</v>
      </c>
      <c r="Y122" s="3">
        <v>9</v>
      </c>
      <c r="Z122" s="3">
        <v>23</v>
      </c>
      <c r="AA122" s="3">
        <v>4</v>
      </c>
      <c r="AB122" s="3">
        <v>1</v>
      </c>
      <c r="AC122" s="3">
        <v>34</v>
      </c>
      <c r="AD122" s="3">
        <v>6</v>
      </c>
      <c r="AE122" s="3">
        <v>14</v>
      </c>
      <c r="AF122" s="3" t="s">
        <v>0</v>
      </c>
      <c r="AG122" s="3" t="s">
        <v>49</v>
      </c>
    </row>
    <row r="123" spans="1:33" ht="114.75" x14ac:dyDescent="0.2">
      <c r="A123" s="5" t="str">
        <f>HYPERLINK("http://www.patentics.cn/invokexml.do?sf=ShowPatent&amp;spn=US8514692&amp;sv=2b46e2c86944e708691c4d7e13c9b826","US8514692")</f>
        <v>US8514692</v>
      </c>
      <c r="B123" s="3" t="s">
        <v>774</v>
      </c>
      <c r="C123" s="3" t="s">
        <v>775</v>
      </c>
      <c r="D123" s="3" t="s">
        <v>52</v>
      </c>
      <c r="E123" s="3" t="s">
        <v>52</v>
      </c>
      <c r="F123" s="3" t="s">
        <v>776</v>
      </c>
      <c r="G123" s="3" t="s">
        <v>66</v>
      </c>
      <c r="H123" s="3" t="s">
        <v>777</v>
      </c>
      <c r="I123" s="3" t="s">
        <v>768</v>
      </c>
      <c r="J123" s="3" t="s">
        <v>778</v>
      </c>
      <c r="K123" s="3" t="s">
        <v>70</v>
      </c>
      <c r="L123" s="3" t="s">
        <v>71</v>
      </c>
      <c r="M123" s="3" t="s">
        <v>84</v>
      </c>
      <c r="N123" s="3" t="s">
        <v>779</v>
      </c>
      <c r="O123" s="3">
        <v>0</v>
      </c>
      <c r="P123" s="3">
        <v>5</v>
      </c>
      <c r="Q123" s="3" t="s">
        <v>60</v>
      </c>
      <c r="R123" s="3" t="s">
        <v>61</v>
      </c>
      <c r="S123" s="3">
        <v>449</v>
      </c>
      <c r="T123" s="3">
        <v>43</v>
      </c>
      <c r="U123" s="3">
        <v>406</v>
      </c>
      <c r="V123" s="3">
        <v>92</v>
      </c>
      <c r="W123" s="3">
        <v>16</v>
      </c>
      <c r="X123" s="3" t="s">
        <v>780</v>
      </c>
      <c r="Y123" s="3">
        <v>8</v>
      </c>
      <c r="Z123" s="3">
        <v>8</v>
      </c>
      <c r="AA123" s="3">
        <v>2</v>
      </c>
      <c r="AB123" s="3">
        <v>2</v>
      </c>
      <c r="AC123" s="3">
        <v>21</v>
      </c>
      <c r="AD123" s="3">
        <v>15</v>
      </c>
      <c r="AE123" s="3">
        <v>14</v>
      </c>
      <c r="AF123" s="3" t="s">
        <v>0</v>
      </c>
      <c r="AG123" s="3" t="s">
        <v>49</v>
      </c>
    </row>
    <row r="124" spans="1:33" ht="51" x14ac:dyDescent="0.2">
      <c r="A124" s="5" t="str">
        <f>HYPERLINK("http://www.patentics.cn/invokexml.do?sf=ShowPatent&amp;spn=US8514771&amp;sv=b19471ab2e3a1a73e65aa5e33d7462c7","US8514771")</f>
        <v>US8514771</v>
      </c>
      <c r="B124" s="3" t="s">
        <v>781</v>
      </c>
      <c r="C124" s="3" t="s">
        <v>782</v>
      </c>
      <c r="D124" s="3" t="s">
        <v>52</v>
      </c>
      <c r="E124" s="3" t="s">
        <v>52</v>
      </c>
      <c r="F124" s="3" t="s">
        <v>783</v>
      </c>
      <c r="G124" s="3" t="s">
        <v>759</v>
      </c>
      <c r="H124" s="3" t="s">
        <v>760</v>
      </c>
      <c r="I124" s="3" t="s">
        <v>761</v>
      </c>
      <c r="J124" s="3" t="s">
        <v>778</v>
      </c>
      <c r="K124" s="3" t="s">
        <v>84</v>
      </c>
      <c r="L124" s="3" t="s">
        <v>784</v>
      </c>
      <c r="M124" s="3" t="s">
        <v>82</v>
      </c>
      <c r="N124" s="3" t="s">
        <v>785</v>
      </c>
      <c r="O124" s="3">
        <v>0</v>
      </c>
      <c r="P124" s="3">
        <v>21</v>
      </c>
      <c r="Q124" s="3" t="s">
        <v>60</v>
      </c>
      <c r="R124" s="3" t="s">
        <v>61</v>
      </c>
      <c r="S124" s="3">
        <v>459</v>
      </c>
      <c r="T124" s="3">
        <v>43</v>
      </c>
      <c r="U124" s="3">
        <v>416</v>
      </c>
      <c r="V124" s="3">
        <v>94</v>
      </c>
      <c r="W124" s="3">
        <v>50</v>
      </c>
      <c r="X124" s="3" t="s">
        <v>786</v>
      </c>
      <c r="Y124" s="3">
        <v>4</v>
      </c>
      <c r="Z124" s="3">
        <v>46</v>
      </c>
      <c r="AA124" s="3">
        <v>3</v>
      </c>
      <c r="AB124" s="3">
        <v>2</v>
      </c>
      <c r="AC124" s="3">
        <v>420</v>
      </c>
      <c r="AD124" s="3">
        <v>17</v>
      </c>
      <c r="AE124" s="3">
        <v>14</v>
      </c>
      <c r="AF124" s="3" t="s">
        <v>0</v>
      </c>
      <c r="AG124" s="3" t="s">
        <v>49</v>
      </c>
    </row>
    <row r="125" spans="1:33" ht="51" x14ac:dyDescent="0.2">
      <c r="A125" s="5" t="str">
        <f>HYPERLINK("http://www.patentics.cn/invokexml.do?sf=ShowPatent&amp;spn=US8694042&amp;sv=15b9c7c00d61ef527bd3b2e6cecec0eb","US8694042")</f>
        <v>US8694042</v>
      </c>
      <c r="B125" s="3" t="s">
        <v>787</v>
      </c>
      <c r="C125" s="3" t="s">
        <v>788</v>
      </c>
      <c r="D125" s="3" t="s">
        <v>52</v>
      </c>
      <c r="E125" s="3" t="s">
        <v>52</v>
      </c>
      <c r="F125" s="3" t="s">
        <v>789</v>
      </c>
      <c r="G125" s="3" t="s">
        <v>790</v>
      </c>
      <c r="H125" s="3" t="s">
        <v>768</v>
      </c>
      <c r="I125" s="3" t="s">
        <v>791</v>
      </c>
      <c r="J125" s="3" t="s">
        <v>162</v>
      </c>
      <c r="K125" s="3" t="s">
        <v>82</v>
      </c>
      <c r="L125" s="3" t="s">
        <v>792</v>
      </c>
      <c r="M125" s="3" t="s">
        <v>82</v>
      </c>
      <c r="N125" s="3" t="s">
        <v>793</v>
      </c>
      <c r="O125" s="3">
        <v>0</v>
      </c>
      <c r="P125" s="3">
        <v>7</v>
      </c>
      <c r="Q125" s="3" t="s">
        <v>60</v>
      </c>
      <c r="R125" s="3" t="s">
        <v>61</v>
      </c>
      <c r="S125" s="3">
        <v>517</v>
      </c>
      <c r="T125" s="3">
        <v>52</v>
      </c>
      <c r="U125" s="3">
        <v>465</v>
      </c>
      <c r="V125" s="3">
        <v>101</v>
      </c>
      <c r="W125" s="3">
        <v>12</v>
      </c>
      <c r="X125" s="3" t="s">
        <v>147</v>
      </c>
      <c r="Y125" s="3">
        <v>0</v>
      </c>
      <c r="Z125" s="3">
        <v>12</v>
      </c>
      <c r="AA125" s="3">
        <v>0</v>
      </c>
      <c r="AB125" s="3">
        <v>1</v>
      </c>
      <c r="AC125" s="3">
        <v>6</v>
      </c>
      <c r="AD125" s="3">
        <v>2</v>
      </c>
      <c r="AE125" s="3">
        <v>14</v>
      </c>
      <c r="AF125" s="3" t="s">
        <v>0</v>
      </c>
      <c r="AG125" s="3" t="s">
        <v>49</v>
      </c>
    </row>
    <row r="126" spans="1:33" ht="89.25" x14ac:dyDescent="0.2">
      <c r="A126" s="5" t="str">
        <f>HYPERLINK("http://www.patentics.cn/invokexml.do?sf=ShowPatent&amp;spn=US8811348&amp;sv=7e9ad22456cd1997efd787f86892a749","US8811348")</f>
        <v>US8811348</v>
      </c>
      <c r="B126" s="3" t="s">
        <v>794</v>
      </c>
      <c r="C126" s="3" t="s">
        <v>795</v>
      </c>
      <c r="D126" s="3" t="s">
        <v>52</v>
      </c>
      <c r="E126" s="3" t="s">
        <v>52</v>
      </c>
      <c r="F126" s="3" t="s">
        <v>796</v>
      </c>
      <c r="G126" s="3" t="s">
        <v>797</v>
      </c>
      <c r="H126" s="3" t="s">
        <v>760</v>
      </c>
      <c r="I126" s="3" t="s">
        <v>761</v>
      </c>
      <c r="J126" s="3" t="s">
        <v>798</v>
      </c>
      <c r="K126" s="3" t="s">
        <v>82</v>
      </c>
      <c r="L126" s="3" t="s">
        <v>83</v>
      </c>
      <c r="M126" s="3" t="s">
        <v>82</v>
      </c>
      <c r="N126" s="3" t="s">
        <v>799</v>
      </c>
      <c r="O126" s="3">
        <v>0</v>
      </c>
      <c r="P126" s="3">
        <v>10</v>
      </c>
      <c r="Q126" s="3" t="s">
        <v>60</v>
      </c>
      <c r="R126" s="3" t="s">
        <v>61</v>
      </c>
      <c r="S126" s="3">
        <v>520</v>
      </c>
      <c r="T126" s="3">
        <v>53</v>
      </c>
      <c r="U126" s="3">
        <v>467</v>
      </c>
      <c r="V126" s="3">
        <v>101</v>
      </c>
      <c r="W126" s="3">
        <v>4</v>
      </c>
      <c r="X126" s="3" t="s">
        <v>444</v>
      </c>
      <c r="Y126" s="3">
        <v>2</v>
      </c>
      <c r="Z126" s="3">
        <v>2</v>
      </c>
      <c r="AA126" s="3">
        <v>2</v>
      </c>
      <c r="AB126" s="3">
        <v>1</v>
      </c>
      <c r="AC126" s="3">
        <v>420</v>
      </c>
      <c r="AD126" s="3">
        <v>17</v>
      </c>
      <c r="AE126" s="3">
        <v>14</v>
      </c>
      <c r="AF126" s="3" t="s">
        <v>0</v>
      </c>
      <c r="AG126" s="3" t="s">
        <v>49</v>
      </c>
    </row>
    <row r="127" spans="1:33" ht="51" x14ac:dyDescent="0.2">
      <c r="A127" s="5" t="str">
        <f>HYPERLINK("http://www.patentics.cn/invokexml.do?sf=ShowPatent&amp;spn=US8830827&amp;sv=6eb2ee8dcadbc51bbc1bc7f65a47c49b","US8830827")</f>
        <v>US8830827</v>
      </c>
      <c r="B127" s="3" t="s">
        <v>800</v>
      </c>
      <c r="C127" s="3" t="s">
        <v>757</v>
      </c>
      <c r="D127" s="3" t="s">
        <v>52</v>
      </c>
      <c r="E127" s="3" t="s">
        <v>52</v>
      </c>
      <c r="F127" s="3" t="s">
        <v>758</v>
      </c>
      <c r="G127" s="3" t="s">
        <v>759</v>
      </c>
      <c r="H127" s="3" t="s">
        <v>760</v>
      </c>
      <c r="I127" s="3" t="s">
        <v>324</v>
      </c>
      <c r="J127" s="3" t="s">
        <v>176</v>
      </c>
      <c r="K127" s="3" t="s">
        <v>58</v>
      </c>
      <c r="L127" s="3" t="s">
        <v>763</v>
      </c>
      <c r="M127" s="3" t="s">
        <v>82</v>
      </c>
      <c r="N127" s="3" t="s">
        <v>764</v>
      </c>
      <c r="O127" s="3">
        <v>0</v>
      </c>
      <c r="P127" s="3">
        <v>7</v>
      </c>
      <c r="Q127" s="3" t="s">
        <v>60</v>
      </c>
      <c r="R127" s="3" t="s">
        <v>61</v>
      </c>
      <c r="S127" s="3">
        <v>473</v>
      </c>
      <c r="T127" s="3">
        <v>55</v>
      </c>
      <c r="U127" s="3">
        <v>418</v>
      </c>
      <c r="V127" s="3">
        <v>103</v>
      </c>
      <c r="W127" s="3">
        <v>44</v>
      </c>
      <c r="X127" s="3" t="s">
        <v>147</v>
      </c>
      <c r="Y127" s="3">
        <v>0</v>
      </c>
      <c r="Z127" s="3">
        <v>44</v>
      </c>
      <c r="AA127" s="3">
        <v>0</v>
      </c>
      <c r="AB127" s="3">
        <v>1</v>
      </c>
      <c r="AC127" s="3">
        <v>420</v>
      </c>
      <c r="AD127" s="3">
        <v>17</v>
      </c>
      <c r="AE127" s="3">
        <v>14</v>
      </c>
      <c r="AF127" s="3" t="s">
        <v>0</v>
      </c>
      <c r="AG127" s="3" t="s">
        <v>49</v>
      </c>
    </row>
    <row r="128" spans="1:33" ht="38.25" x14ac:dyDescent="0.2">
      <c r="A128" s="5" t="str">
        <f>HYPERLINK("http://www.patentics.cn/invokexml.do?sf=ShowPatent&amp;spn=US8965413&amp;sv=06ea2eac27f1539337de5a1903ea4098","US8965413")</f>
        <v>US8965413</v>
      </c>
      <c r="B128" s="3" t="s">
        <v>801</v>
      </c>
      <c r="C128" s="3" t="s">
        <v>802</v>
      </c>
      <c r="D128" s="3" t="s">
        <v>52</v>
      </c>
      <c r="E128" s="3" t="s">
        <v>52</v>
      </c>
      <c r="F128" s="3" t="s">
        <v>803</v>
      </c>
      <c r="G128" s="3" t="s">
        <v>803</v>
      </c>
      <c r="H128" s="3" t="s">
        <v>804</v>
      </c>
      <c r="I128" s="3" t="s">
        <v>688</v>
      </c>
      <c r="J128" s="3" t="s">
        <v>805</v>
      </c>
      <c r="K128" s="3" t="s">
        <v>82</v>
      </c>
      <c r="L128" s="3" t="s">
        <v>806</v>
      </c>
      <c r="M128" s="3" t="s">
        <v>82</v>
      </c>
      <c r="N128" s="3" t="s">
        <v>807</v>
      </c>
      <c r="O128" s="3">
        <v>0</v>
      </c>
      <c r="P128" s="3">
        <v>14</v>
      </c>
      <c r="Q128" s="3" t="s">
        <v>60</v>
      </c>
      <c r="R128" s="3" t="s">
        <v>61</v>
      </c>
      <c r="S128" s="3">
        <v>498</v>
      </c>
      <c r="T128" s="3">
        <v>52</v>
      </c>
      <c r="U128" s="3">
        <v>446</v>
      </c>
      <c r="V128" s="3">
        <v>105</v>
      </c>
      <c r="W128" s="3">
        <v>0</v>
      </c>
      <c r="X128" s="3" t="s">
        <v>147</v>
      </c>
      <c r="Y128" s="3">
        <v>0</v>
      </c>
      <c r="Z128" s="3">
        <v>0</v>
      </c>
      <c r="AA128" s="3">
        <v>0</v>
      </c>
      <c r="AB128" s="3">
        <v>0</v>
      </c>
      <c r="AC128" s="3">
        <v>8</v>
      </c>
      <c r="AD128" s="3">
        <v>7</v>
      </c>
      <c r="AE128" s="3">
        <v>14</v>
      </c>
      <c r="AF128" s="3" t="s">
        <v>0</v>
      </c>
      <c r="AG128" s="3" t="s">
        <v>49</v>
      </c>
    </row>
    <row r="129" spans="1:33" ht="102" x14ac:dyDescent="0.2">
      <c r="A129" s="5" t="str">
        <f>HYPERLINK("http://www.patentics.cn/invokexml.do?sf=ShowPatent&amp;spn=US8989084&amp;sv=fdbe1db07d3d55c3e38ad83fad95fff8","US8989084")</f>
        <v>US8989084</v>
      </c>
      <c r="B129" s="3" t="s">
        <v>808</v>
      </c>
      <c r="C129" s="3" t="s">
        <v>809</v>
      </c>
      <c r="D129" s="3" t="s">
        <v>52</v>
      </c>
      <c r="E129" s="3" t="s">
        <v>52</v>
      </c>
      <c r="F129" s="3" t="s">
        <v>810</v>
      </c>
      <c r="G129" s="3" t="s">
        <v>811</v>
      </c>
      <c r="H129" s="3" t="s">
        <v>768</v>
      </c>
      <c r="I129" s="3" t="s">
        <v>791</v>
      </c>
      <c r="J129" s="3" t="s">
        <v>812</v>
      </c>
      <c r="K129" s="3" t="s">
        <v>82</v>
      </c>
      <c r="L129" s="3" t="s">
        <v>83</v>
      </c>
      <c r="M129" s="3" t="s">
        <v>82</v>
      </c>
      <c r="N129" s="3" t="s">
        <v>793</v>
      </c>
      <c r="O129" s="3">
        <v>0</v>
      </c>
      <c r="P129" s="3">
        <v>17</v>
      </c>
      <c r="Q129" s="3" t="s">
        <v>60</v>
      </c>
      <c r="R129" s="3" t="s">
        <v>61</v>
      </c>
      <c r="S129" s="3">
        <v>506</v>
      </c>
      <c r="T129" s="3">
        <v>55</v>
      </c>
      <c r="U129" s="3">
        <v>451</v>
      </c>
      <c r="V129" s="3">
        <v>107</v>
      </c>
      <c r="W129" s="3">
        <v>20</v>
      </c>
      <c r="X129" s="3" t="s">
        <v>108</v>
      </c>
      <c r="Y129" s="3">
        <v>8</v>
      </c>
      <c r="Z129" s="3">
        <v>12</v>
      </c>
      <c r="AA129" s="3">
        <v>1</v>
      </c>
      <c r="AB129" s="3">
        <v>2</v>
      </c>
      <c r="AC129" s="3">
        <v>6</v>
      </c>
      <c r="AD129" s="3">
        <v>2</v>
      </c>
      <c r="AE129" s="3">
        <v>14</v>
      </c>
      <c r="AF129" s="3" t="s">
        <v>0</v>
      </c>
      <c r="AG129" s="3" t="s">
        <v>49</v>
      </c>
    </row>
    <row r="130" spans="1:33" ht="89.25" x14ac:dyDescent="0.2">
      <c r="A130" s="5" t="str">
        <f>HYPERLINK("http://www.patentics.cn/invokexml.do?sf=ShowPatent&amp;spn=US9125092&amp;sv=41334f3ed6eabbcb598860fc93bad469","US9125092")</f>
        <v>US9125092</v>
      </c>
      <c r="B130" s="3" t="s">
        <v>813</v>
      </c>
      <c r="C130" s="3" t="s">
        <v>814</v>
      </c>
      <c r="D130" s="3" t="s">
        <v>52</v>
      </c>
      <c r="E130" s="3" t="s">
        <v>52</v>
      </c>
      <c r="F130" s="3" t="s">
        <v>815</v>
      </c>
      <c r="G130" s="3" t="s">
        <v>759</v>
      </c>
      <c r="H130" s="3" t="s">
        <v>760</v>
      </c>
      <c r="I130" s="3" t="s">
        <v>769</v>
      </c>
      <c r="J130" s="3" t="s">
        <v>816</v>
      </c>
      <c r="K130" s="3" t="s">
        <v>84</v>
      </c>
      <c r="L130" s="3" t="s">
        <v>411</v>
      </c>
      <c r="M130" s="3" t="s">
        <v>0</v>
      </c>
      <c r="N130" s="3" t="s">
        <v>0</v>
      </c>
      <c r="O130" s="3">
        <v>0</v>
      </c>
      <c r="P130" s="3">
        <v>8</v>
      </c>
      <c r="Q130" s="3" t="s">
        <v>60</v>
      </c>
      <c r="R130" s="3" t="s">
        <v>61</v>
      </c>
      <c r="S130" s="3">
        <v>550</v>
      </c>
      <c r="T130" s="3">
        <v>56</v>
      </c>
      <c r="U130" s="3">
        <v>494</v>
      </c>
      <c r="V130" s="3">
        <v>109</v>
      </c>
      <c r="W130" s="3">
        <v>44</v>
      </c>
      <c r="X130" s="3" t="s">
        <v>147</v>
      </c>
      <c r="Y130" s="3">
        <v>0</v>
      </c>
      <c r="Z130" s="3">
        <v>44</v>
      </c>
      <c r="AA130" s="3">
        <v>0</v>
      </c>
      <c r="AB130" s="3">
        <v>1</v>
      </c>
      <c r="AC130" s="3">
        <v>420</v>
      </c>
      <c r="AD130" s="3">
        <v>17</v>
      </c>
      <c r="AE130" s="3">
        <v>14</v>
      </c>
      <c r="AF130" s="3" t="s">
        <v>0</v>
      </c>
      <c r="AG130" s="3" t="s">
        <v>49</v>
      </c>
    </row>
    <row r="131" spans="1:33" ht="63.75" x14ac:dyDescent="0.2">
      <c r="A131" s="5" t="str">
        <f>HYPERLINK("http://www.patentics.cn/invokexml.do?sf=ShowPatent&amp;spn=US9125093&amp;sv=d211643f2db54e0bc34bacc29dd25b59","US9125093")</f>
        <v>US9125093</v>
      </c>
      <c r="B131" s="3" t="s">
        <v>817</v>
      </c>
      <c r="C131" s="3" t="s">
        <v>818</v>
      </c>
      <c r="D131" s="3" t="s">
        <v>52</v>
      </c>
      <c r="E131" s="3" t="s">
        <v>52</v>
      </c>
      <c r="F131" s="3" t="s">
        <v>819</v>
      </c>
      <c r="G131" s="3" t="s">
        <v>790</v>
      </c>
      <c r="H131" s="3" t="s">
        <v>760</v>
      </c>
      <c r="I131" s="3" t="s">
        <v>791</v>
      </c>
      <c r="J131" s="3" t="s">
        <v>816</v>
      </c>
      <c r="K131" s="3" t="s">
        <v>84</v>
      </c>
      <c r="L131" s="3" t="s">
        <v>411</v>
      </c>
      <c r="M131" s="3" t="s">
        <v>0</v>
      </c>
      <c r="N131" s="3" t="s">
        <v>0</v>
      </c>
      <c r="O131" s="3">
        <v>0</v>
      </c>
      <c r="P131" s="3">
        <v>13</v>
      </c>
      <c r="Q131" s="3" t="s">
        <v>60</v>
      </c>
      <c r="R131" s="3" t="s">
        <v>61</v>
      </c>
      <c r="S131" s="3">
        <v>548</v>
      </c>
      <c r="T131" s="3">
        <v>60</v>
      </c>
      <c r="U131" s="3">
        <v>488</v>
      </c>
      <c r="V131" s="3">
        <v>107</v>
      </c>
      <c r="W131" s="3">
        <v>0</v>
      </c>
      <c r="X131" s="3" t="s">
        <v>147</v>
      </c>
      <c r="Y131" s="3">
        <v>0</v>
      </c>
      <c r="Z131" s="3">
        <v>0</v>
      </c>
      <c r="AA131" s="3">
        <v>0</v>
      </c>
      <c r="AB131" s="3">
        <v>0</v>
      </c>
      <c r="AC131" s="3">
        <v>420</v>
      </c>
      <c r="AD131" s="3">
        <v>17</v>
      </c>
      <c r="AE131" s="3">
        <v>14</v>
      </c>
      <c r="AF131" s="3" t="s">
        <v>0</v>
      </c>
      <c r="AG131" s="3" t="s">
        <v>49</v>
      </c>
    </row>
    <row r="132" spans="1:33" ht="76.5" x14ac:dyDescent="0.2">
      <c r="A132" s="5" t="str">
        <f>HYPERLINK("http://www.patentics.cn/invokexml.do?sf=ShowPatent&amp;spn=US9137072&amp;sv=cf97748444fdfb77638b08152930323b","US9137072")</f>
        <v>US9137072</v>
      </c>
      <c r="B132" s="3" t="s">
        <v>820</v>
      </c>
      <c r="C132" s="3" t="s">
        <v>821</v>
      </c>
      <c r="D132" s="3" t="s">
        <v>52</v>
      </c>
      <c r="E132" s="3" t="s">
        <v>52</v>
      </c>
      <c r="F132" s="3" t="s">
        <v>822</v>
      </c>
      <c r="G132" s="3" t="s">
        <v>823</v>
      </c>
      <c r="H132" s="3" t="s">
        <v>760</v>
      </c>
      <c r="I132" s="3" t="s">
        <v>769</v>
      </c>
      <c r="J132" s="3" t="s">
        <v>225</v>
      </c>
      <c r="K132" s="3" t="s">
        <v>84</v>
      </c>
      <c r="L132" s="3" t="s">
        <v>411</v>
      </c>
      <c r="M132" s="3" t="s">
        <v>58</v>
      </c>
      <c r="N132" s="3" t="s">
        <v>824</v>
      </c>
      <c r="O132" s="3">
        <v>0</v>
      </c>
      <c r="P132" s="3">
        <v>6</v>
      </c>
      <c r="Q132" s="3" t="s">
        <v>60</v>
      </c>
      <c r="R132" s="3" t="s">
        <v>61</v>
      </c>
      <c r="S132" s="3">
        <v>553</v>
      </c>
      <c r="T132" s="3">
        <v>57</v>
      </c>
      <c r="U132" s="3">
        <v>496</v>
      </c>
      <c r="V132" s="3">
        <v>107</v>
      </c>
      <c r="W132" s="3">
        <v>0</v>
      </c>
      <c r="X132" s="3" t="s">
        <v>147</v>
      </c>
      <c r="Y132" s="3">
        <v>0</v>
      </c>
      <c r="Z132" s="3">
        <v>0</v>
      </c>
      <c r="AA132" s="3">
        <v>0</v>
      </c>
      <c r="AB132" s="3">
        <v>0</v>
      </c>
      <c r="AC132" s="3">
        <v>420</v>
      </c>
      <c r="AD132" s="3">
        <v>17</v>
      </c>
      <c r="AE132" s="3">
        <v>14</v>
      </c>
      <c r="AF132" s="3" t="s">
        <v>0</v>
      </c>
      <c r="AG132" s="3" t="s">
        <v>49</v>
      </c>
    </row>
    <row r="133" spans="1:33" ht="25.5" x14ac:dyDescent="0.2">
      <c r="A133" s="5" t="str">
        <f>HYPERLINK("http://www.patentics.cn/invokexml.do?sf=ShowPatent&amp;spn=US9148795&amp;sv=ab0bc42287ec7dfc85193589a17413d3","US9148795")</f>
        <v>US9148795</v>
      </c>
      <c r="B133" s="3" t="s">
        <v>825</v>
      </c>
      <c r="C133" s="3" t="s">
        <v>826</v>
      </c>
      <c r="D133" s="3" t="s">
        <v>52</v>
      </c>
      <c r="E133" s="3" t="s">
        <v>52</v>
      </c>
      <c r="F133" s="3" t="s">
        <v>759</v>
      </c>
      <c r="G133" s="3" t="s">
        <v>759</v>
      </c>
      <c r="H133" s="3" t="s">
        <v>760</v>
      </c>
      <c r="I133" s="3" t="s">
        <v>761</v>
      </c>
      <c r="J133" s="3" t="s">
        <v>248</v>
      </c>
      <c r="K133" s="3" t="s">
        <v>82</v>
      </c>
      <c r="L133" s="3" t="s">
        <v>827</v>
      </c>
      <c r="M133" s="3" t="s">
        <v>82</v>
      </c>
      <c r="N133" s="3" t="s">
        <v>828</v>
      </c>
      <c r="O133" s="3">
        <v>0</v>
      </c>
      <c r="P133" s="3">
        <v>15</v>
      </c>
      <c r="Q133" s="3" t="s">
        <v>60</v>
      </c>
      <c r="R133" s="3" t="s">
        <v>61</v>
      </c>
      <c r="S133" s="3">
        <v>554</v>
      </c>
      <c r="T133" s="3">
        <v>59</v>
      </c>
      <c r="U133" s="3">
        <v>495</v>
      </c>
      <c r="V133" s="3">
        <v>107</v>
      </c>
      <c r="W133" s="3">
        <v>0</v>
      </c>
      <c r="X133" s="3" t="s">
        <v>147</v>
      </c>
      <c r="Y133" s="3">
        <v>0</v>
      </c>
      <c r="Z133" s="3">
        <v>0</v>
      </c>
      <c r="AA133" s="3">
        <v>0</v>
      </c>
      <c r="AB133" s="3">
        <v>0</v>
      </c>
      <c r="AC133" s="3">
        <v>420</v>
      </c>
      <c r="AD133" s="3">
        <v>17</v>
      </c>
      <c r="AE133" s="3">
        <v>14</v>
      </c>
      <c r="AF133" s="3" t="s">
        <v>0</v>
      </c>
      <c r="AG133" s="3" t="s">
        <v>49</v>
      </c>
    </row>
    <row r="134" spans="1:33" ht="51" x14ac:dyDescent="0.2">
      <c r="A134" s="5" t="str">
        <f>HYPERLINK("http://www.patentics.cn/invokexml.do?sf=ShowPatent&amp;spn=US9161313&amp;sv=5fcb796518d8b22f6435beb5cd0b7a06","US9161313")</f>
        <v>US9161313</v>
      </c>
      <c r="B134" s="3" t="s">
        <v>829</v>
      </c>
      <c r="C134" s="3" t="s">
        <v>782</v>
      </c>
      <c r="D134" s="3" t="s">
        <v>52</v>
      </c>
      <c r="E134" s="3" t="s">
        <v>52</v>
      </c>
      <c r="F134" s="3" t="s">
        <v>783</v>
      </c>
      <c r="G134" s="3" t="s">
        <v>759</v>
      </c>
      <c r="H134" s="3" t="s">
        <v>760</v>
      </c>
      <c r="I134" s="3" t="s">
        <v>342</v>
      </c>
      <c r="J134" s="3" t="s">
        <v>830</v>
      </c>
      <c r="K134" s="3" t="s">
        <v>82</v>
      </c>
      <c r="L134" s="3" t="s">
        <v>831</v>
      </c>
      <c r="M134" s="3" t="s">
        <v>82</v>
      </c>
      <c r="N134" s="3" t="s">
        <v>459</v>
      </c>
      <c r="O134" s="3">
        <v>0</v>
      </c>
      <c r="P134" s="3">
        <v>14</v>
      </c>
      <c r="Q134" s="3" t="s">
        <v>60</v>
      </c>
      <c r="R134" s="3" t="s">
        <v>61</v>
      </c>
      <c r="S134" s="3">
        <v>557</v>
      </c>
      <c r="T134" s="3">
        <v>66</v>
      </c>
      <c r="U134" s="3">
        <v>491</v>
      </c>
      <c r="V134" s="3">
        <v>107</v>
      </c>
      <c r="W134" s="3">
        <v>44</v>
      </c>
      <c r="X134" s="3" t="s">
        <v>147</v>
      </c>
      <c r="Y134" s="3">
        <v>0</v>
      </c>
      <c r="Z134" s="3">
        <v>44</v>
      </c>
      <c r="AA134" s="3">
        <v>0</v>
      </c>
      <c r="AB134" s="3">
        <v>1</v>
      </c>
      <c r="AC134" s="3">
        <v>420</v>
      </c>
      <c r="AD134" s="3">
        <v>17</v>
      </c>
      <c r="AE134" s="3">
        <v>14</v>
      </c>
      <c r="AF134" s="3" t="s">
        <v>0</v>
      </c>
      <c r="AG134" s="3" t="s">
        <v>49</v>
      </c>
    </row>
    <row r="135" spans="1:33" ht="153" x14ac:dyDescent="0.2">
      <c r="A135" s="5" t="str">
        <f>HYPERLINK("http://www.patentics.cn/invokexml.do?sf=ShowPatent&amp;spn=US9191840&amp;sv=1bd60d7323ceea082ba15d8769a5a0fa","US9191840")</f>
        <v>US9191840</v>
      </c>
      <c r="B135" s="3" t="s">
        <v>832</v>
      </c>
      <c r="C135" s="3" t="s">
        <v>833</v>
      </c>
      <c r="D135" s="3" t="s">
        <v>52</v>
      </c>
      <c r="E135" s="3" t="s">
        <v>52</v>
      </c>
      <c r="F135" s="3" t="s">
        <v>834</v>
      </c>
      <c r="G135" s="3" t="s">
        <v>66</v>
      </c>
      <c r="H135" s="3" t="s">
        <v>768</v>
      </c>
      <c r="I135" s="3" t="s">
        <v>769</v>
      </c>
      <c r="J135" s="3" t="s">
        <v>612</v>
      </c>
      <c r="K135" s="3" t="s">
        <v>82</v>
      </c>
      <c r="L135" s="3" t="s">
        <v>835</v>
      </c>
      <c r="M135" s="3" t="s">
        <v>82</v>
      </c>
      <c r="N135" s="3" t="s">
        <v>772</v>
      </c>
      <c r="O135" s="3">
        <v>0</v>
      </c>
      <c r="P135" s="3">
        <v>9</v>
      </c>
      <c r="Q135" s="3" t="s">
        <v>60</v>
      </c>
      <c r="R135" s="3" t="s">
        <v>61</v>
      </c>
      <c r="S135" s="3">
        <v>558</v>
      </c>
      <c r="T135" s="3">
        <v>59</v>
      </c>
      <c r="U135" s="3">
        <v>499</v>
      </c>
      <c r="V135" s="3">
        <v>108</v>
      </c>
      <c r="W135" s="3">
        <v>12</v>
      </c>
      <c r="X135" s="3" t="s">
        <v>147</v>
      </c>
      <c r="Y135" s="3">
        <v>0</v>
      </c>
      <c r="Z135" s="3">
        <v>12</v>
      </c>
      <c r="AA135" s="3">
        <v>0</v>
      </c>
      <c r="AB135" s="3">
        <v>1</v>
      </c>
      <c r="AC135" s="3">
        <v>6</v>
      </c>
      <c r="AD135" s="3">
        <v>2</v>
      </c>
      <c r="AE135" s="3">
        <v>14</v>
      </c>
      <c r="AF135" s="3" t="s">
        <v>0</v>
      </c>
      <c r="AG135" s="3" t="s">
        <v>49</v>
      </c>
    </row>
    <row r="136" spans="1:33" ht="114.75" x14ac:dyDescent="0.2">
      <c r="A136" s="5" t="str">
        <f>HYPERLINK("http://www.patentics.cn/invokexml.do?sf=ShowPatent&amp;spn=US9338767&amp;sv=c69f24c4ba8a0bf9656dbfbaeba18646","US9338767")</f>
        <v>US9338767</v>
      </c>
      <c r="B136" s="3" t="s">
        <v>836</v>
      </c>
      <c r="C136" s="3" t="s">
        <v>837</v>
      </c>
      <c r="D136" s="3" t="s">
        <v>52</v>
      </c>
      <c r="E136" s="3" t="s">
        <v>52</v>
      </c>
      <c r="F136" s="3" t="s">
        <v>838</v>
      </c>
      <c r="G136" s="3" t="s">
        <v>839</v>
      </c>
      <c r="H136" s="3" t="s">
        <v>760</v>
      </c>
      <c r="I136" s="3" t="s">
        <v>761</v>
      </c>
      <c r="J136" s="3" t="s">
        <v>840</v>
      </c>
      <c r="K136" s="3" t="s">
        <v>84</v>
      </c>
      <c r="L136" s="3" t="s">
        <v>163</v>
      </c>
      <c r="M136" s="3" t="s">
        <v>82</v>
      </c>
      <c r="N136" s="3" t="s">
        <v>841</v>
      </c>
      <c r="O136" s="3">
        <v>0</v>
      </c>
      <c r="P136" s="3">
        <v>11</v>
      </c>
      <c r="Q136" s="3" t="s">
        <v>60</v>
      </c>
      <c r="R136" s="3" t="s">
        <v>61</v>
      </c>
      <c r="S136" s="3">
        <v>564</v>
      </c>
      <c r="T136" s="3">
        <v>65</v>
      </c>
      <c r="U136" s="3">
        <v>499</v>
      </c>
      <c r="V136" s="3">
        <v>109</v>
      </c>
      <c r="W136" s="3">
        <v>0</v>
      </c>
      <c r="X136" s="3" t="s">
        <v>147</v>
      </c>
      <c r="Y136" s="3">
        <v>0</v>
      </c>
      <c r="Z136" s="3">
        <v>0</v>
      </c>
      <c r="AA136" s="3">
        <v>0</v>
      </c>
      <c r="AB136" s="3">
        <v>0</v>
      </c>
      <c r="AC136" s="3">
        <v>420</v>
      </c>
      <c r="AD136" s="3">
        <v>17</v>
      </c>
      <c r="AE136" s="3">
        <v>14</v>
      </c>
      <c r="AF136" s="3" t="s">
        <v>0</v>
      </c>
      <c r="AG136" s="3" t="s">
        <v>49</v>
      </c>
    </row>
    <row r="137" spans="1:33" ht="114.75" x14ac:dyDescent="0.2">
      <c r="A137" s="5" t="str">
        <f>HYPERLINK("http://www.patentics.cn/invokexml.do?sf=ShowPatent&amp;spn=US9338795&amp;sv=f55ac144fdda34c31880407a11501548","US9338795")</f>
        <v>US9338795</v>
      </c>
      <c r="B137" s="3" t="s">
        <v>842</v>
      </c>
      <c r="C137" s="3" t="s">
        <v>757</v>
      </c>
      <c r="D137" s="3" t="s">
        <v>52</v>
      </c>
      <c r="E137" s="3" t="s">
        <v>52</v>
      </c>
      <c r="F137" s="3" t="s">
        <v>843</v>
      </c>
      <c r="G137" s="3" t="s">
        <v>759</v>
      </c>
      <c r="H137" s="3" t="s">
        <v>760</v>
      </c>
      <c r="I137" s="3" t="s">
        <v>844</v>
      </c>
      <c r="J137" s="3" t="s">
        <v>840</v>
      </c>
      <c r="K137" s="3" t="s">
        <v>84</v>
      </c>
      <c r="L137" s="3" t="s">
        <v>310</v>
      </c>
      <c r="M137" s="3" t="s">
        <v>82</v>
      </c>
      <c r="N137" s="3" t="s">
        <v>764</v>
      </c>
      <c r="O137" s="3">
        <v>0</v>
      </c>
      <c r="P137" s="3">
        <v>12</v>
      </c>
      <c r="Q137" s="3" t="s">
        <v>60</v>
      </c>
      <c r="R137" s="3" t="s">
        <v>61</v>
      </c>
      <c r="S137" s="3">
        <v>521</v>
      </c>
      <c r="T137" s="3">
        <v>56</v>
      </c>
      <c r="U137" s="3">
        <v>465</v>
      </c>
      <c r="V137" s="3">
        <v>109</v>
      </c>
      <c r="W137" s="3">
        <v>44</v>
      </c>
      <c r="X137" s="3" t="s">
        <v>147</v>
      </c>
      <c r="Y137" s="3">
        <v>0</v>
      </c>
      <c r="Z137" s="3">
        <v>44</v>
      </c>
      <c r="AA137" s="3">
        <v>0</v>
      </c>
      <c r="AB137" s="3">
        <v>1</v>
      </c>
      <c r="AC137" s="3">
        <v>420</v>
      </c>
      <c r="AD137" s="3">
        <v>17</v>
      </c>
      <c r="AE137" s="3">
        <v>14</v>
      </c>
      <c r="AF137" s="3" t="s">
        <v>0</v>
      </c>
      <c r="AG137" s="3" t="s">
        <v>49</v>
      </c>
    </row>
    <row r="138" spans="1:33" ht="51" x14ac:dyDescent="0.2">
      <c r="A138" s="5" t="str">
        <f>HYPERLINK("http://www.patentics.cn/invokexml.do?sf=ShowPatent&amp;spn=US9451491&amp;sv=18db648405aa8f8a1832f075f677fd58","US9451491")</f>
        <v>US9451491</v>
      </c>
      <c r="B138" s="3" t="s">
        <v>845</v>
      </c>
      <c r="C138" s="3" t="s">
        <v>846</v>
      </c>
      <c r="D138" s="3" t="s">
        <v>52</v>
      </c>
      <c r="E138" s="3" t="s">
        <v>52</v>
      </c>
      <c r="F138" s="3" t="s">
        <v>847</v>
      </c>
      <c r="G138" s="3" t="s">
        <v>759</v>
      </c>
      <c r="H138" s="3" t="s">
        <v>760</v>
      </c>
      <c r="I138" s="3" t="s">
        <v>761</v>
      </c>
      <c r="J138" s="3" t="s">
        <v>848</v>
      </c>
      <c r="K138" s="3" t="s">
        <v>82</v>
      </c>
      <c r="L138" s="3" t="s">
        <v>83</v>
      </c>
      <c r="M138" s="3" t="s">
        <v>82</v>
      </c>
      <c r="N138" s="3" t="s">
        <v>799</v>
      </c>
      <c r="O138" s="3">
        <v>0</v>
      </c>
      <c r="P138" s="3">
        <v>14</v>
      </c>
      <c r="Q138" s="3" t="s">
        <v>60</v>
      </c>
      <c r="R138" s="3" t="s">
        <v>61</v>
      </c>
      <c r="S138" s="3">
        <v>555</v>
      </c>
      <c r="T138" s="3">
        <v>56</v>
      </c>
      <c r="U138" s="3">
        <v>499</v>
      </c>
      <c r="V138" s="3">
        <v>107</v>
      </c>
      <c r="W138" s="3">
        <v>0</v>
      </c>
      <c r="X138" s="3" t="s">
        <v>147</v>
      </c>
      <c r="Y138" s="3">
        <v>0</v>
      </c>
      <c r="Z138" s="3">
        <v>0</v>
      </c>
      <c r="AA138" s="3">
        <v>0</v>
      </c>
      <c r="AB138" s="3">
        <v>0</v>
      </c>
      <c r="AC138" s="3">
        <v>420</v>
      </c>
      <c r="AD138" s="3">
        <v>17</v>
      </c>
      <c r="AE138" s="3">
        <v>14</v>
      </c>
      <c r="AF138" s="3" t="s">
        <v>0</v>
      </c>
      <c r="AG138" s="3" t="s">
        <v>49</v>
      </c>
    </row>
    <row r="139" spans="1:33" ht="63.75" x14ac:dyDescent="0.2">
      <c r="A139" s="5" t="str">
        <f>HYPERLINK("http://www.patentics.cn/invokexml.do?sf=ShowPatent&amp;spn=US9462604&amp;sv=b06dcff1dc72494cbf2b0cd6b3aa5866","US9462604")</f>
        <v>US9462604</v>
      </c>
      <c r="B139" s="3" t="s">
        <v>849</v>
      </c>
      <c r="C139" s="3" t="s">
        <v>850</v>
      </c>
      <c r="D139" s="3" t="s">
        <v>52</v>
      </c>
      <c r="E139" s="3" t="s">
        <v>52</v>
      </c>
      <c r="F139" s="3" t="s">
        <v>851</v>
      </c>
      <c r="G139" s="3" t="s">
        <v>759</v>
      </c>
      <c r="H139" s="3" t="s">
        <v>760</v>
      </c>
      <c r="I139" s="3" t="s">
        <v>852</v>
      </c>
      <c r="J139" s="3" t="s">
        <v>329</v>
      </c>
      <c r="K139" s="3" t="s">
        <v>82</v>
      </c>
      <c r="L139" s="3" t="s">
        <v>226</v>
      </c>
      <c r="M139" s="3" t="s">
        <v>82</v>
      </c>
      <c r="N139" s="3" t="s">
        <v>764</v>
      </c>
      <c r="O139" s="3">
        <v>0</v>
      </c>
      <c r="P139" s="3">
        <v>18</v>
      </c>
      <c r="Q139" s="3" t="s">
        <v>60</v>
      </c>
      <c r="R139" s="3" t="s">
        <v>61</v>
      </c>
      <c r="S139" s="3">
        <v>570</v>
      </c>
      <c r="T139" s="3">
        <v>59</v>
      </c>
      <c r="U139" s="3">
        <v>511</v>
      </c>
      <c r="V139" s="3">
        <v>110</v>
      </c>
      <c r="W139" s="3">
        <v>0</v>
      </c>
      <c r="X139" s="3" t="s">
        <v>147</v>
      </c>
      <c r="Y139" s="3">
        <v>0</v>
      </c>
      <c r="Z139" s="3">
        <v>0</v>
      </c>
      <c r="AA139" s="3">
        <v>0</v>
      </c>
      <c r="AB139" s="3">
        <v>0</v>
      </c>
      <c r="AC139" s="3">
        <v>420</v>
      </c>
      <c r="AD139" s="3">
        <v>17</v>
      </c>
      <c r="AE139" s="3">
        <v>14</v>
      </c>
      <c r="AF139" s="3" t="s">
        <v>0</v>
      </c>
      <c r="AG139" s="3" t="s">
        <v>49</v>
      </c>
    </row>
    <row r="140" spans="1:33" ht="38.25" x14ac:dyDescent="0.2">
      <c r="A140" s="5" t="str">
        <f>HYPERLINK("http://www.patentics.cn/invokexml.do?sf=ShowPatent&amp;spn=US9473265&amp;sv=a7f1e2676b38d4392584143e920c5576","US9473265")</f>
        <v>US9473265</v>
      </c>
      <c r="B140" s="3" t="s">
        <v>853</v>
      </c>
      <c r="C140" s="3" t="s">
        <v>854</v>
      </c>
      <c r="D140" s="3" t="s">
        <v>52</v>
      </c>
      <c r="E140" s="3" t="s">
        <v>52</v>
      </c>
      <c r="F140" s="3" t="s">
        <v>759</v>
      </c>
      <c r="G140" s="3" t="s">
        <v>759</v>
      </c>
      <c r="H140" s="3" t="s">
        <v>760</v>
      </c>
      <c r="I140" s="3" t="s">
        <v>769</v>
      </c>
      <c r="J140" s="3" t="s">
        <v>528</v>
      </c>
      <c r="K140" s="3" t="s">
        <v>84</v>
      </c>
      <c r="L140" s="3" t="s">
        <v>310</v>
      </c>
      <c r="M140" s="3" t="s">
        <v>58</v>
      </c>
      <c r="N140" s="3" t="s">
        <v>855</v>
      </c>
      <c r="O140" s="3">
        <v>0</v>
      </c>
      <c r="P140" s="3">
        <v>9</v>
      </c>
      <c r="Q140" s="3" t="s">
        <v>60</v>
      </c>
      <c r="R140" s="3" t="s">
        <v>61</v>
      </c>
      <c r="S140" s="3">
        <v>569</v>
      </c>
      <c r="T140" s="3">
        <v>62</v>
      </c>
      <c r="U140" s="3">
        <v>507</v>
      </c>
      <c r="V140" s="3">
        <v>108</v>
      </c>
      <c r="W140" s="3">
        <v>0</v>
      </c>
      <c r="X140" s="3" t="s">
        <v>147</v>
      </c>
      <c r="Y140" s="3">
        <v>0</v>
      </c>
      <c r="Z140" s="3">
        <v>0</v>
      </c>
      <c r="AA140" s="3">
        <v>0</v>
      </c>
      <c r="AB140" s="3">
        <v>0</v>
      </c>
      <c r="AC140" s="3">
        <v>420</v>
      </c>
      <c r="AD140" s="3">
        <v>17</v>
      </c>
      <c r="AE140" s="3">
        <v>14</v>
      </c>
      <c r="AF140" s="3" t="s">
        <v>0</v>
      </c>
      <c r="AG140" s="3" t="s">
        <v>49</v>
      </c>
    </row>
    <row r="141" spans="1:33" ht="51" x14ac:dyDescent="0.2">
      <c r="A141" s="5" t="str">
        <f>HYPERLINK("http://www.patentics.cn/invokexml.do?sf=ShowPatent&amp;spn=US9544860&amp;sv=33972c8bb0a81bdbb60b7c3867df66d9","US9544860")</f>
        <v>US9544860</v>
      </c>
      <c r="B141" s="3" t="s">
        <v>856</v>
      </c>
      <c r="C141" s="3" t="s">
        <v>857</v>
      </c>
      <c r="D141" s="3" t="s">
        <v>52</v>
      </c>
      <c r="E141" s="3" t="s">
        <v>52</v>
      </c>
      <c r="F141" s="3" t="s">
        <v>858</v>
      </c>
      <c r="G141" s="3" t="s">
        <v>66</v>
      </c>
      <c r="H141" s="3" t="s">
        <v>859</v>
      </c>
      <c r="I141" s="3" t="s">
        <v>860</v>
      </c>
      <c r="J141" s="3" t="s">
        <v>861</v>
      </c>
      <c r="K141" s="3" t="s">
        <v>82</v>
      </c>
      <c r="L141" s="3" t="s">
        <v>862</v>
      </c>
      <c r="M141" s="3" t="s">
        <v>82</v>
      </c>
      <c r="N141" s="3" t="s">
        <v>863</v>
      </c>
      <c r="O141" s="3">
        <v>0</v>
      </c>
      <c r="P141" s="3">
        <v>12</v>
      </c>
      <c r="Q141" s="3" t="s">
        <v>60</v>
      </c>
      <c r="R141" s="3" t="s">
        <v>61</v>
      </c>
      <c r="S141" s="3">
        <v>575</v>
      </c>
      <c r="T141" s="3">
        <v>64</v>
      </c>
      <c r="U141" s="3">
        <v>511</v>
      </c>
      <c r="V141" s="3">
        <v>108</v>
      </c>
      <c r="W141" s="3">
        <v>0</v>
      </c>
      <c r="X141" s="3" t="s">
        <v>147</v>
      </c>
      <c r="Y141" s="3">
        <v>0</v>
      </c>
      <c r="Z141" s="3">
        <v>0</v>
      </c>
      <c r="AA141" s="3">
        <v>0</v>
      </c>
      <c r="AB141" s="3">
        <v>0</v>
      </c>
      <c r="AC141" s="3">
        <v>54</v>
      </c>
      <c r="AD141" s="3">
        <v>12</v>
      </c>
      <c r="AE141" s="3">
        <v>14</v>
      </c>
      <c r="AF141" s="3" t="s">
        <v>0</v>
      </c>
      <c r="AG141" s="3" t="s">
        <v>49</v>
      </c>
    </row>
    <row r="142" spans="1:33" ht="102" x14ac:dyDescent="0.2">
      <c r="A142" s="5" t="str">
        <f>HYPERLINK("http://www.patentics.cn/invokexml.do?sf=ShowPatent&amp;spn=US9572179&amp;sv=c171e2e91d3be0827f51f7b2dc6c0111","US9572179")</f>
        <v>US9572179</v>
      </c>
      <c r="B142" s="3" t="s">
        <v>864</v>
      </c>
      <c r="C142" s="3" t="s">
        <v>757</v>
      </c>
      <c r="D142" s="3" t="s">
        <v>52</v>
      </c>
      <c r="E142" s="3" t="s">
        <v>52</v>
      </c>
      <c r="F142" s="3" t="s">
        <v>865</v>
      </c>
      <c r="G142" s="3" t="s">
        <v>759</v>
      </c>
      <c r="H142" s="3" t="s">
        <v>760</v>
      </c>
      <c r="I142" s="3" t="s">
        <v>769</v>
      </c>
      <c r="J142" s="3" t="s">
        <v>866</v>
      </c>
      <c r="K142" s="3" t="s">
        <v>84</v>
      </c>
      <c r="L142" s="3" t="s">
        <v>310</v>
      </c>
      <c r="M142" s="3" t="s">
        <v>82</v>
      </c>
      <c r="N142" s="3" t="s">
        <v>764</v>
      </c>
      <c r="O142" s="3">
        <v>0</v>
      </c>
      <c r="P142" s="3">
        <v>11</v>
      </c>
      <c r="Q142" s="3" t="s">
        <v>60</v>
      </c>
      <c r="R142" s="3" t="s">
        <v>61</v>
      </c>
      <c r="S142" s="3">
        <v>576</v>
      </c>
      <c r="T142" s="3">
        <v>63</v>
      </c>
      <c r="U142" s="3">
        <v>513</v>
      </c>
      <c r="V142" s="3">
        <v>109</v>
      </c>
      <c r="W142" s="3">
        <v>0</v>
      </c>
      <c r="X142" s="3" t="s">
        <v>147</v>
      </c>
      <c r="Y142" s="3">
        <v>0</v>
      </c>
      <c r="Z142" s="3">
        <v>0</v>
      </c>
      <c r="AA142" s="3">
        <v>0</v>
      </c>
      <c r="AB142" s="3">
        <v>0</v>
      </c>
      <c r="AC142" s="3">
        <v>420</v>
      </c>
      <c r="AD142" s="3">
        <v>17</v>
      </c>
      <c r="AE142" s="3">
        <v>14</v>
      </c>
      <c r="AF142" s="3" t="s">
        <v>0</v>
      </c>
      <c r="AG142" s="3" t="s">
        <v>49</v>
      </c>
    </row>
    <row r="143" spans="1:33" ht="89.25" x14ac:dyDescent="0.2">
      <c r="A143" s="5" t="str">
        <f>HYPERLINK("http://www.patentics.cn/invokexml.do?sf=ShowPatent&amp;spn=US9578654&amp;sv=2429a4d23ab9bb0a56b2f9405a1e2407","US9578654")</f>
        <v>US9578654</v>
      </c>
      <c r="B143" s="3" t="s">
        <v>867</v>
      </c>
      <c r="C143" s="3" t="s">
        <v>868</v>
      </c>
      <c r="D143" s="3" t="s">
        <v>52</v>
      </c>
      <c r="E143" s="3" t="s">
        <v>52</v>
      </c>
      <c r="F143" s="3" t="s">
        <v>869</v>
      </c>
      <c r="G143" s="3" t="s">
        <v>759</v>
      </c>
      <c r="H143" s="3" t="s">
        <v>760</v>
      </c>
      <c r="I143" s="3" t="s">
        <v>870</v>
      </c>
      <c r="J143" s="3" t="s">
        <v>871</v>
      </c>
      <c r="K143" s="3" t="s">
        <v>82</v>
      </c>
      <c r="L143" s="3" t="s">
        <v>83</v>
      </c>
      <c r="M143" s="3" t="s">
        <v>82</v>
      </c>
      <c r="N143" s="3" t="s">
        <v>764</v>
      </c>
      <c r="O143" s="3">
        <v>0</v>
      </c>
      <c r="P143" s="3">
        <v>11</v>
      </c>
      <c r="Q143" s="3" t="s">
        <v>60</v>
      </c>
      <c r="R143" s="3" t="s">
        <v>61</v>
      </c>
      <c r="S143" s="3">
        <v>571</v>
      </c>
      <c r="T143" s="3">
        <v>62</v>
      </c>
      <c r="U143" s="3">
        <v>509</v>
      </c>
      <c r="V143" s="3">
        <v>108</v>
      </c>
      <c r="W143" s="3">
        <v>0</v>
      </c>
      <c r="X143" s="3" t="s">
        <v>147</v>
      </c>
      <c r="Y143" s="3">
        <v>0</v>
      </c>
      <c r="Z143" s="3">
        <v>0</v>
      </c>
      <c r="AA143" s="3">
        <v>0</v>
      </c>
      <c r="AB143" s="3">
        <v>0</v>
      </c>
      <c r="AC143" s="3">
        <v>420</v>
      </c>
      <c r="AD143" s="3">
        <v>17</v>
      </c>
      <c r="AE143" s="3">
        <v>14</v>
      </c>
      <c r="AF143" s="3" t="s">
        <v>0</v>
      </c>
      <c r="AG143" s="3" t="s">
        <v>49</v>
      </c>
    </row>
    <row r="144" spans="1:33" ht="51" x14ac:dyDescent="0.2">
      <c r="A144" s="5" t="str">
        <f>HYPERLINK("http://www.patentics.cn/invokexml.do?sf=ShowPatent&amp;spn=US9603102&amp;sv=121f5e6dfb40adb891fdd583de7b7667","US9603102")</f>
        <v>US9603102</v>
      </c>
      <c r="B144" s="3" t="s">
        <v>872</v>
      </c>
      <c r="C144" s="3" t="s">
        <v>873</v>
      </c>
      <c r="D144" s="3" t="s">
        <v>52</v>
      </c>
      <c r="E144" s="3" t="s">
        <v>52</v>
      </c>
      <c r="F144" s="3" t="s">
        <v>858</v>
      </c>
      <c r="G144" s="3" t="s">
        <v>66</v>
      </c>
      <c r="H144" s="3" t="s">
        <v>0</v>
      </c>
      <c r="I144" s="3" t="s">
        <v>874</v>
      </c>
      <c r="J144" s="3" t="s">
        <v>739</v>
      </c>
      <c r="K144" s="3" t="s">
        <v>84</v>
      </c>
      <c r="L144" s="3" t="s">
        <v>875</v>
      </c>
      <c r="M144" s="3" t="s">
        <v>82</v>
      </c>
      <c r="N144" s="3" t="s">
        <v>876</v>
      </c>
      <c r="O144" s="3">
        <v>0</v>
      </c>
      <c r="P144" s="3">
        <v>8</v>
      </c>
      <c r="Q144" s="3" t="s">
        <v>60</v>
      </c>
      <c r="R144" s="3" t="s">
        <v>61</v>
      </c>
      <c r="S144" s="3">
        <v>573</v>
      </c>
      <c r="T144" s="3">
        <v>61</v>
      </c>
      <c r="U144" s="3">
        <v>512</v>
      </c>
      <c r="V144" s="3">
        <v>108</v>
      </c>
      <c r="W144" s="3">
        <v>0</v>
      </c>
      <c r="X144" s="3" t="s">
        <v>147</v>
      </c>
      <c r="Y144" s="3">
        <v>0</v>
      </c>
      <c r="Z144" s="3">
        <v>0</v>
      </c>
      <c r="AA144" s="3">
        <v>0</v>
      </c>
      <c r="AB144" s="3">
        <v>0</v>
      </c>
      <c r="AC144" s="3">
        <v>0</v>
      </c>
      <c r="AD144" s="3">
        <v>0</v>
      </c>
      <c r="AE144" s="3">
        <v>14</v>
      </c>
      <c r="AF144" s="3" t="s">
        <v>0</v>
      </c>
      <c r="AG144" s="3" t="s">
        <v>49</v>
      </c>
    </row>
    <row r="145" spans="1:33" ht="63.75" x14ac:dyDescent="0.2">
      <c r="A145" s="4" t="str">
        <f>HYPERLINK("http://www.patentics.cn/invokexml.do?sf=ShowPatent&amp;spn=WO2009062115&amp;sv=d8279aec460daa737f87d23e39dc28c5","WO2009062115")</f>
        <v>WO2009062115</v>
      </c>
      <c r="B145" s="2" t="s">
        <v>877</v>
      </c>
      <c r="C145" s="2" t="s">
        <v>878</v>
      </c>
      <c r="D145" s="2" t="s">
        <v>879</v>
      </c>
      <c r="E145" s="2" t="s">
        <v>880</v>
      </c>
      <c r="F145" s="2" t="s">
        <v>881</v>
      </c>
      <c r="G145" s="2" t="s">
        <v>882</v>
      </c>
      <c r="H145" s="2" t="s">
        <v>883</v>
      </c>
      <c r="I145" s="2" t="s">
        <v>884</v>
      </c>
      <c r="J145" s="2" t="s">
        <v>885</v>
      </c>
      <c r="K145" s="2" t="s">
        <v>70</v>
      </c>
      <c r="L145" s="2" t="s">
        <v>71</v>
      </c>
      <c r="M145" s="2" t="s">
        <v>0</v>
      </c>
      <c r="N145" s="2" t="s">
        <v>0</v>
      </c>
      <c r="O145" s="2">
        <v>95</v>
      </c>
      <c r="P145" s="2">
        <v>6</v>
      </c>
      <c r="Q145" s="2" t="s">
        <v>352</v>
      </c>
      <c r="R145" s="2" t="s">
        <v>61</v>
      </c>
      <c r="S145" s="2">
        <v>3</v>
      </c>
      <c r="T145" s="2">
        <v>1</v>
      </c>
      <c r="U145" s="2">
        <v>2</v>
      </c>
      <c r="V145" s="2">
        <v>3</v>
      </c>
      <c r="W145" s="2">
        <v>33</v>
      </c>
      <c r="X145" s="2" t="s">
        <v>886</v>
      </c>
      <c r="Y145" s="2">
        <v>1</v>
      </c>
      <c r="Z145" s="2">
        <v>32</v>
      </c>
      <c r="AA145" s="2">
        <v>12</v>
      </c>
      <c r="AB145" s="2">
        <v>5</v>
      </c>
      <c r="AC145" s="2">
        <v>18</v>
      </c>
      <c r="AD145" s="2">
        <v>6</v>
      </c>
      <c r="AE145" s="2" t="s">
        <v>0</v>
      </c>
      <c r="AF145" s="2">
        <v>18</v>
      </c>
      <c r="AG145" s="2" t="s">
        <v>0</v>
      </c>
    </row>
    <row r="146" spans="1:33" ht="63.75" x14ac:dyDescent="0.2">
      <c r="A146" s="5" t="str">
        <f>HYPERLINK("http://www.patentics.cn/invokexml.do?sf=ShowPatent&amp;spn=US8638131&amp;sv=39265516102f7abba38053998061543f","US8638131")</f>
        <v>US8638131</v>
      </c>
      <c r="B146" s="3" t="s">
        <v>887</v>
      </c>
      <c r="C146" s="3" t="s">
        <v>888</v>
      </c>
      <c r="D146" s="3" t="s">
        <v>52</v>
      </c>
      <c r="E146" s="3" t="s">
        <v>52</v>
      </c>
      <c r="F146" s="3" t="s">
        <v>889</v>
      </c>
      <c r="G146" s="3" t="s">
        <v>890</v>
      </c>
      <c r="H146" s="3" t="s">
        <v>891</v>
      </c>
      <c r="I146" s="3" t="s">
        <v>891</v>
      </c>
      <c r="J146" s="3" t="s">
        <v>892</v>
      </c>
      <c r="K146" s="3" t="s">
        <v>893</v>
      </c>
      <c r="L146" s="3" t="s">
        <v>894</v>
      </c>
      <c r="M146" s="3" t="s">
        <v>893</v>
      </c>
      <c r="N146" s="3" t="s">
        <v>895</v>
      </c>
      <c r="O146" s="3">
        <v>0</v>
      </c>
      <c r="P146" s="3">
        <v>13</v>
      </c>
      <c r="Q146" s="3" t="s">
        <v>60</v>
      </c>
      <c r="R146" s="3" t="s">
        <v>61</v>
      </c>
      <c r="S146" s="3">
        <v>178</v>
      </c>
      <c r="T146" s="3">
        <v>42</v>
      </c>
      <c r="U146" s="3">
        <v>136</v>
      </c>
      <c r="V146" s="3">
        <v>52</v>
      </c>
      <c r="W146" s="3">
        <v>4</v>
      </c>
      <c r="X146" s="3" t="s">
        <v>896</v>
      </c>
      <c r="Y146" s="3">
        <v>2</v>
      </c>
      <c r="Z146" s="3">
        <v>2</v>
      </c>
      <c r="AA146" s="3">
        <v>3</v>
      </c>
      <c r="AB146" s="3">
        <v>1</v>
      </c>
      <c r="AC146" s="3">
        <v>3</v>
      </c>
      <c r="AD146" s="3">
        <v>2</v>
      </c>
      <c r="AE146" s="3">
        <v>14</v>
      </c>
      <c r="AF146" s="3" t="s">
        <v>0</v>
      </c>
      <c r="AG146" s="3" t="s">
        <v>49</v>
      </c>
    </row>
    <row r="147" spans="1:33" ht="63.75" x14ac:dyDescent="0.2">
      <c r="A147" s="5" t="str">
        <f>HYPERLINK("http://www.patentics.cn/invokexml.do?sf=ShowPatent&amp;spn=US8724563&amp;sv=06b4d914a8390abe11a621880ea34bde","US8724563")</f>
        <v>US8724563</v>
      </c>
      <c r="B147" s="3" t="s">
        <v>897</v>
      </c>
      <c r="C147" s="3" t="s">
        <v>898</v>
      </c>
      <c r="D147" s="3" t="s">
        <v>52</v>
      </c>
      <c r="E147" s="3" t="s">
        <v>52</v>
      </c>
      <c r="F147" s="3" t="s">
        <v>899</v>
      </c>
      <c r="G147" s="3" t="s">
        <v>900</v>
      </c>
      <c r="H147" s="3" t="s">
        <v>901</v>
      </c>
      <c r="I147" s="3" t="s">
        <v>902</v>
      </c>
      <c r="J147" s="3" t="s">
        <v>903</v>
      </c>
      <c r="K147" s="3" t="s">
        <v>82</v>
      </c>
      <c r="L147" s="3" t="s">
        <v>83</v>
      </c>
      <c r="M147" s="3" t="s">
        <v>58</v>
      </c>
      <c r="N147" s="3" t="s">
        <v>904</v>
      </c>
      <c r="O147" s="3">
        <v>0</v>
      </c>
      <c r="P147" s="3">
        <v>11</v>
      </c>
      <c r="Q147" s="3" t="s">
        <v>60</v>
      </c>
      <c r="R147" s="3" t="s">
        <v>61</v>
      </c>
      <c r="S147" s="3">
        <v>181</v>
      </c>
      <c r="T147" s="3">
        <v>42</v>
      </c>
      <c r="U147" s="3">
        <v>139</v>
      </c>
      <c r="V147" s="3">
        <v>54</v>
      </c>
      <c r="W147" s="3">
        <v>4</v>
      </c>
      <c r="X147" s="3" t="s">
        <v>905</v>
      </c>
      <c r="Y147" s="3">
        <v>3</v>
      </c>
      <c r="Z147" s="3">
        <v>1</v>
      </c>
      <c r="AA147" s="3">
        <v>2</v>
      </c>
      <c r="AB147" s="3">
        <v>1</v>
      </c>
      <c r="AC147" s="3">
        <v>21</v>
      </c>
      <c r="AD147" s="3">
        <v>7</v>
      </c>
      <c r="AE147" s="3">
        <v>14</v>
      </c>
      <c r="AF147" s="3" t="s">
        <v>0</v>
      </c>
      <c r="AG147" s="3" t="s">
        <v>49</v>
      </c>
    </row>
    <row r="148" spans="1:33" ht="76.5" x14ac:dyDescent="0.2">
      <c r="A148" s="5" t="str">
        <f>HYPERLINK("http://www.patentics.cn/invokexml.do?sf=ShowPatent&amp;spn=US8886190&amp;sv=accdd99c2216fc98d326216297465038","US8886190")</f>
        <v>US8886190</v>
      </c>
      <c r="B148" s="3" t="s">
        <v>906</v>
      </c>
      <c r="C148" s="3" t="s">
        <v>907</v>
      </c>
      <c r="D148" s="3" t="s">
        <v>52</v>
      </c>
      <c r="E148" s="3" t="s">
        <v>52</v>
      </c>
      <c r="F148" s="3" t="s">
        <v>908</v>
      </c>
      <c r="G148" s="3" t="s">
        <v>454</v>
      </c>
      <c r="H148" s="3" t="s">
        <v>909</v>
      </c>
      <c r="I148" s="3" t="s">
        <v>910</v>
      </c>
      <c r="J148" s="3" t="s">
        <v>196</v>
      </c>
      <c r="K148" s="3" t="s">
        <v>82</v>
      </c>
      <c r="L148" s="3" t="s">
        <v>911</v>
      </c>
      <c r="M148" s="3" t="s">
        <v>82</v>
      </c>
      <c r="N148" s="3" t="s">
        <v>799</v>
      </c>
      <c r="O148" s="3">
        <v>0</v>
      </c>
      <c r="P148" s="3">
        <v>10</v>
      </c>
      <c r="Q148" s="3" t="s">
        <v>60</v>
      </c>
      <c r="R148" s="3" t="s">
        <v>61</v>
      </c>
      <c r="S148" s="3">
        <v>235</v>
      </c>
      <c r="T148" s="3">
        <v>51</v>
      </c>
      <c r="U148" s="3">
        <v>184</v>
      </c>
      <c r="V148" s="3">
        <v>63</v>
      </c>
      <c r="W148" s="3">
        <v>4</v>
      </c>
      <c r="X148" s="3" t="s">
        <v>912</v>
      </c>
      <c r="Y148" s="3">
        <v>3</v>
      </c>
      <c r="Z148" s="3">
        <v>1</v>
      </c>
      <c r="AA148" s="3">
        <v>2</v>
      </c>
      <c r="AB148" s="3">
        <v>1</v>
      </c>
      <c r="AC148" s="3">
        <v>7</v>
      </c>
      <c r="AD148" s="3">
        <v>6</v>
      </c>
      <c r="AE148" s="3">
        <v>14</v>
      </c>
      <c r="AF148" s="3" t="s">
        <v>0</v>
      </c>
      <c r="AG148" s="3" t="s">
        <v>49</v>
      </c>
    </row>
    <row r="149" spans="1:33" ht="89.25" x14ac:dyDescent="0.2">
      <c r="A149" s="5" t="str">
        <f>HYPERLINK("http://www.patentics.cn/invokexml.do?sf=ShowPatent&amp;spn=US8942192&amp;sv=87109fc2ff2f4e42f1db86db68428e2e","US8942192")</f>
        <v>US8942192</v>
      </c>
      <c r="B149" s="3" t="s">
        <v>913</v>
      </c>
      <c r="C149" s="3" t="s">
        <v>914</v>
      </c>
      <c r="D149" s="3" t="s">
        <v>52</v>
      </c>
      <c r="E149" s="3" t="s">
        <v>52</v>
      </c>
      <c r="F149" s="3" t="s">
        <v>915</v>
      </c>
      <c r="G149" s="3" t="s">
        <v>454</v>
      </c>
      <c r="H149" s="3" t="s">
        <v>916</v>
      </c>
      <c r="I149" s="3" t="s">
        <v>917</v>
      </c>
      <c r="J149" s="3" t="s">
        <v>918</v>
      </c>
      <c r="K149" s="3" t="s">
        <v>82</v>
      </c>
      <c r="L149" s="3" t="s">
        <v>244</v>
      </c>
      <c r="M149" s="3" t="s">
        <v>82</v>
      </c>
      <c r="N149" s="3" t="s">
        <v>919</v>
      </c>
      <c r="O149" s="3">
        <v>0</v>
      </c>
      <c r="P149" s="3">
        <v>18</v>
      </c>
      <c r="Q149" s="3" t="s">
        <v>60</v>
      </c>
      <c r="R149" s="3" t="s">
        <v>61</v>
      </c>
      <c r="S149" s="3">
        <v>248</v>
      </c>
      <c r="T149" s="3">
        <v>52</v>
      </c>
      <c r="U149" s="3">
        <v>196</v>
      </c>
      <c r="V149" s="3">
        <v>64</v>
      </c>
      <c r="W149" s="3">
        <v>17</v>
      </c>
      <c r="X149" s="3" t="s">
        <v>920</v>
      </c>
      <c r="Y149" s="3">
        <v>1</v>
      </c>
      <c r="Z149" s="3">
        <v>16</v>
      </c>
      <c r="AA149" s="3">
        <v>3</v>
      </c>
      <c r="AB149" s="3">
        <v>2</v>
      </c>
      <c r="AC149" s="3">
        <v>26</v>
      </c>
      <c r="AD149" s="3">
        <v>12</v>
      </c>
      <c r="AE149" s="3">
        <v>14</v>
      </c>
      <c r="AF149" s="3" t="s">
        <v>0</v>
      </c>
      <c r="AG149" s="3" t="s">
        <v>49</v>
      </c>
    </row>
    <row r="150" spans="1:33" ht="76.5" x14ac:dyDescent="0.2">
      <c r="A150" s="5" t="str">
        <f>HYPERLINK("http://www.patentics.cn/invokexml.do?sf=ShowPatent&amp;spn=US9106378&amp;sv=109dca1a95e0286c0676843dc271f0e5","US9106378")</f>
        <v>US9106378</v>
      </c>
      <c r="B150" s="3" t="s">
        <v>921</v>
      </c>
      <c r="C150" s="3" t="s">
        <v>922</v>
      </c>
      <c r="D150" s="3" t="s">
        <v>52</v>
      </c>
      <c r="E150" s="3" t="s">
        <v>52</v>
      </c>
      <c r="F150" s="3" t="s">
        <v>923</v>
      </c>
      <c r="G150" s="3" t="s">
        <v>924</v>
      </c>
      <c r="H150" s="3" t="s">
        <v>925</v>
      </c>
      <c r="I150" s="3" t="s">
        <v>926</v>
      </c>
      <c r="J150" s="3" t="s">
        <v>927</v>
      </c>
      <c r="K150" s="3" t="s">
        <v>82</v>
      </c>
      <c r="L150" s="3" t="s">
        <v>226</v>
      </c>
      <c r="M150" s="3" t="s">
        <v>0</v>
      </c>
      <c r="N150" s="3" t="s">
        <v>0</v>
      </c>
      <c r="O150" s="3">
        <v>0</v>
      </c>
      <c r="P150" s="3">
        <v>17</v>
      </c>
      <c r="Q150" s="3" t="s">
        <v>60</v>
      </c>
      <c r="R150" s="3" t="s">
        <v>61</v>
      </c>
      <c r="S150" s="3">
        <v>262</v>
      </c>
      <c r="T150" s="3">
        <v>53</v>
      </c>
      <c r="U150" s="3">
        <v>209</v>
      </c>
      <c r="V150" s="3">
        <v>65</v>
      </c>
      <c r="W150" s="3">
        <v>0</v>
      </c>
      <c r="X150" s="3" t="s">
        <v>147</v>
      </c>
      <c r="Y150" s="3">
        <v>0</v>
      </c>
      <c r="Z150" s="3">
        <v>0</v>
      </c>
      <c r="AA150" s="3">
        <v>0</v>
      </c>
      <c r="AB150" s="3">
        <v>0</v>
      </c>
      <c r="AC150" s="3">
        <v>13</v>
      </c>
      <c r="AD150" s="3">
        <v>7</v>
      </c>
      <c r="AE150" s="3">
        <v>14</v>
      </c>
      <c r="AF150" s="3" t="s">
        <v>0</v>
      </c>
      <c r="AG150" s="3" t="s">
        <v>49</v>
      </c>
    </row>
    <row r="151" spans="1:33" ht="140.25" x14ac:dyDescent="0.2">
      <c r="A151" s="5" t="str">
        <f>HYPERLINK("http://www.patentics.cn/invokexml.do?sf=ShowPatent&amp;spn=US9125072&amp;sv=0a35516ca99592a4263a31d9700485cf","US9125072")</f>
        <v>US9125072</v>
      </c>
      <c r="B151" s="3" t="s">
        <v>928</v>
      </c>
      <c r="C151" s="3" t="s">
        <v>929</v>
      </c>
      <c r="D151" s="3" t="s">
        <v>52</v>
      </c>
      <c r="E151" s="3" t="s">
        <v>52</v>
      </c>
      <c r="F151" s="3" t="s">
        <v>930</v>
      </c>
      <c r="G151" s="3" t="s">
        <v>78</v>
      </c>
      <c r="H151" s="3" t="s">
        <v>931</v>
      </c>
      <c r="I151" s="3" t="s">
        <v>932</v>
      </c>
      <c r="J151" s="3" t="s">
        <v>816</v>
      </c>
      <c r="K151" s="3" t="s">
        <v>82</v>
      </c>
      <c r="L151" s="3" t="s">
        <v>226</v>
      </c>
      <c r="M151" s="3" t="s">
        <v>0</v>
      </c>
      <c r="N151" s="3" t="s">
        <v>0</v>
      </c>
      <c r="O151" s="3">
        <v>0</v>
      </c>
      <c r="P151" s="3">
        <v>11</v>
      </c>
      <c r="Q151" s="3" t="s">
        <v>60</v>
      </c>
      <c r="R151" s="3" t="s">
        <v>61</v>
      </c>
      <c r="S151" s="3">
        <v>274</v>
      </c>
      <c r="T151" s="3">
        <v>55</v>
      </c>
      <c r="U151" s="3">
        <v>219</v>
      </c>
      <c r="V151" s="3">
        <v>64</v>
      </c>
      <c r="W151" s="3">
        <v>8</v>
      </c>
      <c r="X151" s="3" t="s">
        <v>933</v>
      </c>
      <c r="Y151" s="3">
        <v>1</v>
      </c>
      <c r="Z151" s="3">
        <v>7</v>
      </c>
      <c r="AA151" s="3">
        <v>2</v>
      </c>
      <c r="AB151" s="3">
        <v>2</v>
      </c>
      <c r="AC151" s="3">
        <v>22</v>
      </c>
      <c r="AD151" s="3">
        <v>11</v>
      </c>
      <c r="AE151" s="3">
        <v>14</v>
      </c>
      <c r="AF151" s="3" t="s">
        <v>0</v>
      </c>
      <c r="AG151" s="3" t="s">
        <v>49</v>
      </c>
    </row>
    <row r="152" spans="1:33" ht="102" x14ac:dyDescent="0.2">
      <c r="A152" s="5" t="str">
        <f>HYPERLINK("http://www.patentics.cn/invokexml.do?sf=ShowPatent&amp;spn=US9144037&amp;sv=1b44d15f404b6823ede5c41f2168ed63","US9144037")</f>
        <v>US9144037</v>
      </c>
      <c r="B152" s="3" t="s">
        <v>934</v>
      </c>
      <c r="C152" s="3" t="s">
        <v>935</v>
      </c>
      <c r="D152" s="3" t="s">
        <v>52</v>
      </c>
      <c r="E152" s="3" t="s">
        <v>52</v>
      </c>
      <c r="F152" s="3" t="s">
        <v>936</v>
      </c>
      <c r="G152" s="3" t="s">
        <v>937</v>
      </c>
      <c r="H152" s="3" t="s">
        <v>938</v>
      </c>
      <c r="I152" s="3" t="s">
        <v>939</v>
      </c>
      <c r="J152" s="3" t="s">
        <v>240</v>
      </c>
      <c r="K152" s="3" t="s">
        <v>84</v>
      </c>
      <c r="L152" s="3" t="s">
        <v>163</v>
      </c>
      <c r="M152" s="3" t="s">
        <v>82</v>
      </c>
      <c r="N152" s="3" t="s">
        <v>940</v>
      </c>
      <c r="O152" s="3">
        <v>0</v>
      </c>
      <c r="P152" s="3">
        <v>15</v>
      </c>
      <c r="Q152" s="3" t="s">
        <v>60</v>
      </c>
      <c r="R152" s="3" t="s">
        <v>61</v>
      </c>
      <c r="S152" s="3">
        <v>276</v>
      </c>
      <c r="T152" s="3">
        <v>53</v>
      </c>
      <c r="U152" s="3">
        <v>223</v>
      </c>
      <c r="V152" s="3">
        <v>65</v>
      </c>
      <c r="W152" s="3">
        <v>0</v>
      </c>
      <c r="X152" s="3" t="s">
        <v>147</v>
      </c>
      <c r="Y152" s="3">
        <v>0</v>
      </c>
      <c r="Z152" s="3">
        <v>0</v>
      </c>
      <c r="AA152" s="3">
        <v>0</v>
      </c>
      <c r="AB152" s="3">
        <v>0</v>
      </c>
      <c r="AC152" s="3">
        <v>15</v>
      </c>
      <c r="AD152" s="3">
        <v>7</v>
      </c>
      <c r="AE152" s="3">
        <v>14</v>
      </c>
      <c r="AF152" s="3" t="s">
        <v>0</v>
      </c>
      <c r="AG152" s="3" t="s">
        <v>49</v>
      </c>
    </row>
    <row r="153" spans="1:33" ht="229.5" x14ac:dyDescent="0.2">
      <c r="A153" s="5" t="str">
        <f>HYPERLINK("http://www.patentics.cn/invokexml.do?sf=ShowPatent&amp;spn=US9226288&amp;sv=50d74d97714cc499dcdeeea75ddcc1b9","US9226288")</f>
        <v>US9226288</v>
      </c>
      <c r="B153" s="3" t="s">
        <v>941</v>
      </c>
      <c r="C153" s="3" t="s">
        <v>942</v>
      </c>
      <c r="D153" s="3" t="s">
        <v>52</v>
      </c>
      <c r="E153" s="3" t="s">
        <v>52</v>
      </c>
      <c r="F153" s="3" t="s">
        <v>943</v>
      </c>
      <c r="G153" s="3" t="s">
        <v>944</v>
      </c>
      <c r="H153" s="3" t="s">
        <v>931</v>
      </c>
      <c r="I153" s="3" t="s">
        <v>932</v>
      </c>
      <c r="J153" s="3" t="s">
        <v>294</v>
      </c>
      <c r="K153" s="3" t="s">
        <v>82</v>
      </c>
      <c r="L153" s="3" t="s">
        <v>83</v>
      </c>
      <c r="M153" s="3" t="s">
        <v>82</v>
      </c>
      <c r="N153" s="3" t="s">
        <v>945</v>
      </c>
      <c r="O153" s="3">
        <v>0</v>
      </c>
      <c r="P153" s="3">
        <v>15</v>
      </c>
      <c r="Q153" s="3" t="s">
        <v>60</v>
      </c>
      <c r="R153" s="3" t="s">
        <v>61</v>
      </c>
      <c r="S153" s="3">
        <v>278</v>
      </c>
      <c r="T153" s="3">
        <v>55</v>
      </c>
      <c r="U153" s="3">
        <v>223</v>
      </c>
      <c r="V153" s="3">
        <v>65</v>
      </c>
      <c r="W153" s="3">
        <v>0</v>
      </c>
      <c r="X153" s="3" t="s">
        <v>147</v>
      </c>
      <c r="Y153" s="3">
        <v>0</v>
      </c>
      <c r="Z153" s="3">
        <v>0</v>
      </c>
      <c r="AA153" s="3">
        <v>0</v>
      </c>
      <c r="AB153" s="3">
        <v>0</v>
      </c>
      <c r="AC153" s="3">
        <v>8</v>
      </c>
      <c r="AD153" s="3">
        <v>6</v>
      </c>
      <c r="AE153" s="3">
        <v>14</v>
      </c>
      <c r="AF153" s="3" t="s">
        <v>0</v>
      </c>
      <c r="AG153" s="3" t="s">
        <v>49</v>
      </c>
    </row>
    <row r="154" spans="1:33" ht="38.25" x14ac:dyDescent="0.2">
      <c r="A154" s="5" t="str">
        <f>HYPERLINK("http://www.patentics.cn/invokexml.do?sf=ShowPatent&amp;spn=US9247547&amp;sv=6ac735d56c680732a53747d3b40e1315","US9247547")</f>
        <v>US9247547</v>
      </c>
      <c r="B154" s="3" t="s">
        <v>946</v>
      </c>
      <c r="C154" s="3" t="s">
        <v>947</v>
      </c>
      <c r="D154" s="3" t="s">
        <v>52</v>
      </c>
      <c r="E154" s="3" t="s">
        <v>52</v>
      </c>
      <c r="F154" s="3" t="s">
        <v>948</v>
      </c>
      <c r="G154" s="3" t="s">
        <v>949</v>
      </c>
      <c r="H154" s="3" t="s">
        <v>950</v>
      </c>
      <c r="I154" s="3" t="s">
        <v>951</v>
      </c>
      <c r="J154" s="3" t="s">
        <v>309</v>
      </c>
      <c r="K154" s="3" t="s">
        <v>82</v>
      </c>
      <c r="L154" s="3" t="s">
        <v>83</v>
      </c>
      <c r="M154" s="3" t="s">
        <v>82</v>
      </c>
      <c r="N154" s="3" t="s">
        <v>952</v>
      </c>
      <c r="O154" s="3">
        <v>0</v>
      </c>
      <c r="P154" s="3">
        <v>12</v>
      </c>
      <c r="Q154" s="3" t="s">
        <v>60</v>
      </c>
      <c r="R154" s="3" t="s">
        <v>61</v>
      </c>
      <c r="S154" s="3">
        <v>47</v>
      </c>
      <c r="T154" s="3">
        <v>1</v>
      </c>
      <c r="U154" s="3">
        <v>46</v>
      </c>
      <c r="V154" s="3">
        <v>24</v>
      </c>
      <c r="W154" s="3">
        <v>0</v>
      </c>
      <c r="X154" s="3" t="s">
        <v>147</v>
      </c>
      <c r="Y154" s="3">
        <v>0</v>
      </c>
      <c r="Z154" s="3">
        <v>0</v>
      </c>
      <c r="AA154" s="3">
        <v>0</v>
      </c>
      <c r="AB154" s="3">
        <v>0</v>
      </c>
      <c r="AC154" s="3">
        <v>15</v>
      </c>
      <c r="AD154" s="3">
        <v>7</v>
      </c>
      <c r="AE154" s="3">
        <v>14</v>
      </c>
      <c r="AF154" s="3" t="s">
        <v>0</v>
      </c>
      <c r="AG154" s="3" t="s">
        <v>49</v>
      </c>
    </row>
    <row r="155" spans="1:33" ht="76.5" x14ac:dyDescent="0.2">
      <c r="A155" s="5" t="str">
        <f>HYPERLINK("http://www.patentics.cn/invokexml.do?sf=ShowPatent&amp;spn=US9271167&amp;sv=e401f5289229974ed8a94cd08f8a9054","US9271167")</f>
        <v>US9271167</v>
      </c>
      <c r="B155" s="3" t="s">
        <v>953</v>
      </c>
      <c r="C155" s="3" t="s">
        <v>954</v>
      </c>
      <c r="D155" s="3" t="s">
        <v>52</v>
      </c>
      <c r="E155" s="3" t="s">
        <v>52</v>
      </c>
      <c r="F155" s="3" t="s">
        <v>955</v>
      </c>
      <c r="G155" s="3" t="s">
        <v>956</v>
      </c>
      <c r="H155" s="3" t="s">
        <v>931</v>
      </c>
      <c r="I155" s="3" t="s">
        <v>957</v>
      </c>
      <c r="J155" s="3" t="s">
        <v>669</v>
      </c>
      <c r="K155" s="3" t="s">
        <v>82</v>
      </c>
      <c r="L155" s="3" t="s">
        <v>806</v>
      </c>
      <c r="M155" s="3" t="s">
        <v>82</v>
      </c>
      <c r="N155" s="3" t="s">
        <v>958</v>
      </c>
      <c r="O155" s="3">
        <v>0</v>
      </c>
      <c r="P155" s="3">
        <v>16</v>
      </c>
      <c r="Q155" s="3" t="s">
        <v>60</v>
      </c>
      <c r="R155" s="3" t="s">
        <v>61</v>
      </c>
      <c r="S155" s="3">
        <v>279</v>
      </c>
      <c r="T155" s="3">
        <v>55</v>
      </c>
      <c r="U155" s="3">
        <v>224</v>
      </c>
      <c r="V155" s="3">
        <v>65</v>
      </c>
      <c r="W155" s="3">
        <v>21</v>
      </c>
      <c r="X155" s="3" t="s">
        <v>108</v>
      </c>
      <c r="Y155" s="3">
        <v>0</v>
      </c>
      <c r="Z155" s="3">
        <v>21</v>
      </c>
      <c r="AA155" s="3">
        <v>1</v>
      </c>
      <c r="AB155" s="3">
        <v>2</v>
      </c>
      <c r="AC155" s="3">
        <v>20</v>
      </c>
      <c r="AD155" s="3">
        <v>13</v>
      </c>
      <c r="AE155" s="3">
        <v>14</v>
      </c>
      <c r="AF155" s="3" t="s">
        <v>0</v>
      </c>
      <c r="AG155" s="3" t="s">
        <v>49</v>
      </c>
    </row>
    <row r="156" spans="1:33" ht="76.5" x14ac:dyDescent="0.2">
      <c r="A156" s="5" t="str">
        <f>HYPERLINK("http://www.patentics.cn/invokexml.do?sf=ShowPatent&amp;spn=US9277566&amp;sv=1e06c5731d657aed16e04b24a7f25f6b","US9277566")</f>
        <v>US9277566</v>
      </c>
      <c r="B156" s="3" t="s">
        <v>959</v>
      </c>
      <c r="C156" s="3" t="s">
        <v>960</v>
      </c>
      <c r="D156" s="3" t="s">
        <v>52</v>
      </c>
      <c r="E156" s="3" t="s">
        <v>52</v>
      </c>
      <c r="F156" s="3" t="s">
        <v>961</v>
      </c>
      <c r="G156" s="3" t="s">
        <v>962</v>
      </c>
      <c r="H156" s="3" t="s">
        <v>963</v>
      </c>
      <c r="I156" s="3" t="s">
        <v>964</v>
      </c>
      <c r="J156" s="3" t="s">
        <v>965</v>
      </c>
      <c r="K156" s="3" t="s">
        <v>82</v>
      </c>
      <c r="L156" s="3" t="s">
        <v>83</v>
      </c>
      <c r="M156" s="3" t="s">
        <v>82</v>
      </c>
      <c r="N156" s="3" t="s">
        <v>966</v>
      </c>
      <c r="O156" s="3">
        <v>0</v>
      </c>
      <c r="P156" s="3">
        <v>10</v>
      </c>
      <c r="Q156" s="3" t="s">
        <v>60</v>
      </c>
      <c r="R156" s="3" t="s">
        <v>61</v>
      </c>
      <c r="S156" s="3">
        <v>279</v>
      </c>
      <c r="T156" s="3">
        <v>56</v>
      </c>
      <c r="U156" s="3">
        <v>223</v>
      </c>
      <c r="V156" s="3">
        <v>65</v>
      </c>
      <c r="W156" s="3">
        <v>0</v>
      </c>
      <c r="X156" s="3" t="s">
        <v>147</v>
      </c>
      <c r="Y156" s="3">
        <v>0</v>
      </c>
      <c r="Z156" s="3">
        <v>0</v>
      </c>
      <c r="AA156" s="3">
        <v>0</v>
      </c>
      <c r="AB156" s="3">
        <v>0</v>
      </c>
      <c r="AC156" s="3">
        <v>11</v>
      </c>
      <c r="AD156" s="3">
        <v>7</v>
      </c>
      <c r="AE156" s="3">
        <v>14</v>
      </c>
      <c r="AF156" s="3" t="s">
        <v>0</v>
      </c>
      <c r="AG156" s="3" t="s">
        <v>49</v>
      </c>
    </row>
    <row r="157" spans="1:33" ht="89.25" x14ac:dyDescent="0.2">
      <c r="A157" s="5" t="str">
        <f>HYPERLINK("http://www.patentics.cn/invokexml.do?sf=ShowPatent&amp;spn=US9281932&amp;sv=588db6af75c155f9b117f0850b28fd3c","US9281932")</f>
        <v>US9281932</v>
      </c>
      <c r="B157" s="3" t="s">
        <v>967</v>
      </c>
      <c r="C157" s="3" t="s">
        <v>914</v>
      </c>
      <c r="D157" s="3" t="s">
        <v>52</v>
      </c>
      <c r="E157" s="3" t="s">
        <v>52</v>
      </c>
      <c r="F157" s="3" t="s">
        <v>915</v>
      </c>
      <c r="G157" s="3" t="s">
        <v>454</v>
      </c>
      <c r="H157" s="3" t="s">
        <v>916</v>
      </c>
      <c r="I157" s="3" t="s">
        <v>968</v>
      </c>
      <c r="J157" s="3" t="s">
        <v>683</v>
      </c>
      <c r="K157" s="3" t="s">
        <v>82</v>
      </c>
      <c r="L157" s="3" t="s">
        <v>244</v>
      </c>
      <c r="M157" s="3" t="s">
        <v>58</v>
      </c>
      <c r="N157" s="3" t="s">
        <v>969</v>
      </c>
      <c r="O157" s="3">
        <v>0</v>
      </c>
      <c r="P157" s="3">
        <v>16</v>
      </c>
      <c r="Q157" s="3" t="s">
        <v>60</v>
      </c>
      <c r="R157" s="3" t="s">
        <v>61</v>
      </c>
      <c r="S157" s="3">
        <v>276</v>
      </c>
      <c r="T157" s="3">
        <v>54</v>
      </c>
      <c r="U157" s="3">
        <v>222</v>
      </c>
      <c r="V157" s="3">
        <v>64</v>
      </c>
      <c r="W157" s="3">
        <v>14</v>
      </c>
      <c r="X157" s="3" t="s">
        <v>147</v>
      </c>
      <c r="Y157" s="3">
        <v>0</v>
      </c>
      <c r="Z157" s="3">
        <v>14</v>
      </c>
      <c r="AA157" s="3">
        <v>0</v>
      </c>
      <c r="AB157" s="3">
        <v>1</v>
      </c>
      <c r="AC157" s="3">
        <v>26</v>
      </c>
      <c r="AD157" s="3">
        <v>12</v>
      </c>
      <c r="AE157" s="3">
        <v>14</v>
      </c>
      <c r="AF157" s="3" t="s">
        <v>0</v>
      </c>
      <c r="AG157" s="3" t="s">
        <v>49</v>
      </c>
    </row>
    <row r="158" spans="1:33" ht="140.25" x14ac:dyDescent="0.2">
      <c r="A158" s="5" t="str">
        <f>HYPERLINK("http://www.patentics.cn/invokexml.do?sf=ShowPatent&amp;spn=US9282472&amp;sv=12573b5a134f751a53fd2109d243d1ed","US9282472")</f>
        <v>US9282472</v>
      </c>
      <c r="B158" s="3" t="s">
        <v>970</v>
      </c>
      <c r="C158" s="3" t="s">
        <v>971</v>
      </c>
      <c r="D158" s="3" t="s">
        <v>52</v>
      </c>
      <c r="E158" s="3" t="s">
        <v>52</v>
      </c>
      <c r="F158" s="3" t="s">
        <v>930</v>
      </c>
      <c r="G158" s="3" t="s">
        <v>78</v>
      </c>
      <c r="H158" s="3" t="s">
        <v>931</v>
      </c>
      <c r="I158" s="3" t="s">
        <v>972</v>
      </c>
      <c r="J158" s="3" t="s">
        <v>683</v>
      </c>
      <c r="K158" s="3" t="s">
        <v>82</v>
      </c>
      <c r="L158" s="3" t="s">
        <v>226</v>
      </c>
      <c r="M158" s="3" t="s">
        <v>82</v>
      </c>
      <c r="N158" s="3" t="s">
        <v>958</v>
      </c>
      <c r="O158" s="3">
        <v>0</v>
      </c>
      <c r="P158" s="3">
        <v>10</v>
      </c>
      <c r="Q158" s="3" t="s">
        <v>60</v>
      </c>
      <c r="R158" s="3" t="s">
        <v>61</v>
      </c>
      <c r="S158" s="3">
        <v>286</v>
      </c>
      <c r="T158" s="3">
        <v>62</v>
      </c>
      <c r="U158" s="3">
        <v>224</v>
      </c>
      <c r="V158" s="3">
        <v>65</v>
      </c>
      <c r="W158" s="3">
        <v>6</v>
      </c>
      <c r="X158" s="3" t="s">
        <v>147</v>
      </c>
      <c r="Y158" s="3">
        <v>0</v>
      </c>
      <c r="Z158" s="3">
        <v>6</v>
      </c>
      <c r="AA158" s="3">
        <v>0</v>
      </c>
      <c r="AB158" s="3">
        <v>1</v>
      </c>
      <c r="AC158" s="3">
        <v>22</v>
      </c>
      <c r="AD158" s="3">
        <v>11</v>
      </c>
      <c r="AE158" s="3">
        <v>14</v>
      </c>
      <c r="AF158" s="3" t="s">
        <v>0</v>
      </c>
      <c r="AG158" s="3" t="s">
        <v>49</v>
      </c>
    </row>
    <row r="159" spans="1:33" ht="255" x14ac:dyDescent="0.2">
      <c r="A159" s="5" t="str">
        <f>HYPERLINK("http://www.patentics.cn/invokexml.do?sf=ShowPatent&amp;spn=US9392608&amp;sv=08c237f9c4d3167556ddb89b7357ba3e","US9392608")</f>
        <v>US9392608</v>
      </c>
      <c r="B159" s="3" t="s">
        <v>973</v>
      </c>
      <c r="C159" s="3" t="s">
        <v>974</v>
      </c>
      <c r="D159" s="3" t="s">
        <v>52</v>
      </c>
      <c r="E159" s="3" t="s">
        <v>52</v>
      </c>
      <c r="F159" s="3" t="s">
        <v>975</v>
      </c>
      <c r="G159" s="3" t="s">
        <v>956</v>
      </c>
      <c r="H159" s="3" t="s">
        <v>931</v>
      </c>
      <c r="I159" s="3" t="s">
        <v>932</v>
      </c>
      <c r="J159" s="3" t="s">
        <v>976</v>
      </c>
      <c r="K159" s="3" t="s">
        <v>82</v>
      </c>
      <c r="L159" s="3" t="s">
        <v>226</v>
      </c>
      <c r="M159" s="3" t="s">
        <v>82</v>
      </c>
      <c r="N159" s="3" t="s">
        <v>977</v>
      </c>
      <c r="O159" s="3">
        <v>0</v>
      </c>
      <c r="P159" s="3">
        <v>15</v>
      </c>
      <c r="Q159" s="3" t="s">
        <v>60</v>
      </c>
      <c r="R159" s="3" t="s">
        <v>61</v>
      </c>
      <c r="S159" s="3">
        <v>285</v>
      </c>
      <c r="T159" s="3">
        <v>55</v>
      </c>
      <c r="U159" s="3">
        <v>230</v>
      </c>
      <c r="V159" s="3">
        <v>66</v>
      </c>
      <c r="W159" s="3">
        <v>0</v>
      </c>
      <c r="X159" s="3" t="s">
        <v>147</v>
      </c>
      <c r="Y159" s="3">
        <v>0</v>
      </c>
      <c r="Z159" s="3">
        <v>0</v>
      </c>
      <c r="AA159" s="3">
        <v>0</v>
      </c>
      <c r="AB159" s="3">
        <v>0</v>
      </c>
      <c r="AC159" s="3">
        <v>16</v>
      </c>
      <c r="AD159" s="3">
        <v>10</v>
      </c>
      <c r="AE159" s="3">
        <v>14</v>
      </c>
      <c r="AF159" s="3" t="s">
        <v>0</v>
      </c>
      <c r="AG159" s="3" t="s">
        <v>49</v>
      </c>
    </row>
    <row r="160" spans="1:33" ht="63.75" x14ac:dyDescent="0.2">
      <c r="A160" s="5" t="str">
        <f>HYPERLINK("http://www.patentics.cn/invokexml.do?sf=ShowPatent&amp;spn=WO2011034966&amp;sv=5e8c0494f7edf9d7d4249ee336976c93","WO2011034966")</f>
        <v>WO2011034966</v>
      </c>
      <c r="B160" s="3" t="s">
        <v>978</v>
      </c>
      <c r="C160" s="3" t="s">
        <v>914</v>
      </c>
      <c r="D160" s="3" t="s">
        <v>979</v>
      </c>
      <c r="E160" s="3" t="s">
        <v>980</v>
      </c>
      <c r="F160" s="3" t="s">
        <v>981</v>
      </c>
      <c r="G160" s="3" t="s">
        <v>982</v>
      </c>
      <c r="H160" s="3" t="s">
        <v>916</v>
      </c>
      <c r="I160" s="3" t="s">
        <v>983</v>
      </c>
      <c r="J160" s="3" t="s">
        <v>984</v>
      </c>
      <c r="K160" s="3" t="s">
        <v>82</v>
      </c>
      <c r="L160" s="3" t="s">
        <v>244</v>
      </c>
      <c r="M160" s="3" t="s">
        <v>0</v>
      </c>
      <c r="N160" s="3" t="s">
        <v>0</v>
      </c>
      <c r="O160" s="3">
        <v>59</v>
      </c>
      <c r="P160" s="3">
        <v>8</v>
      </c>
      <c r="Q160" s="3" t="s">
        <v>352</v>
      </c>
      <c r="R160" s="3" t="s">
        <v>61</v>
      </c>
      <c r="S160" s="3">
        <v>2</v>
      </c>
      <c r="T160" s="3">
        <v>0</v>
      </c>
      <c r="U160" s="3">
        <v>2</v>
      </c>
      <c r="V160" s="3">
        <v>2</v>
      </c>
      <c r="W160" s="3">
        <v>29</v>
      </c>
      <c r="X160" s="3" t="s">
        <v>773</v>
      </c>
      <c r="Y160" s="3">
        <v>11</v>
      </c>
      <c r="Z160" s="3">
        <v>18</v>
      </c>
      <c r="AA160" s="3">
        <v>3</v>
      </c>
      <c r="AB160" s="3">
        <v>3</v>
      </c>
      <c r="AC160" s="3">
        <v>26</v>
      </c>
      <c r="AD160" s="3">
        <v>12</v>
      </c>
      <c r="AE160" s="3">
        <v>14</v>
      </c>
      <c r="AF160" s="3" t="s">
        <v>0</v>
      </c>
      <c r="AG160" s="3" t="s">
        <v>0</v>
      </c>
    </row>
    <row r="161" spans="1:33" ht="51" x14ac:dyDescent="0.2">
      <c r="A161" s="5" t="str">
        <f>HYPERLINK("http://www.patentics.cn/invokexml.do?sf=ShowPatent&amp;spn=CN102577560B&amp;sv=7fb2316f685843b9ff997f20041a3385","CN102577560B")</f>
        <v>CN102577560B</v>
      </c>
      <c r="B161" s="3" t="s">
        <v>985</v>
      </c>
      <c r="C161" s="3" t="s">
        <v>986</v>
      </c>
      <c r="D161" s="3" t="s">
        <v>338</v>
      </c>
      <c r="E161" s="3" t="s">
        <v>338</v>
      </c>
      <c r="F161" s="3" t="s">
        <v>987</v>
      </c>
      <c r="G161" s="3" t="s">
        <v>988</v>
      </c>
      <c r="H161" s="3" t="s">
        <v>916</v>
      </c>
      <c r="I161" s="3" t="s">
        <v>983</v>
      </c>
      <c r="J161" s="3" t="s">
        <v>989</v>
      </c>
      <c r="K161" s="3" t="s">
        <v>82</v>
      </c>
      <c r="L161" s="3" t="s">
        <v>244</v>
      </c>
      <c r="M161" s="3" t="s">
        <v>0</v>
      </c>
      <c r="N161" s="3" t="s">
        <v>0</v>
      </c>
      <c r="O161" s="3">
        <v>31</v>
      </c>
      <c r="P161" s="3">
        <v>23</v>
      </c>
      <c r="Q161" s="3" t="s">
        <v>60</v>
      </c>
      <c r="R161" s="3" t="s">
        <v>61</v>
      </c>
      <c r="S161" s="3">
        <v>2</v>
      </c>
      <c r="T161" s="3">
        <v>0</v>
      </c>
      <c r="U161" s="3">
        <v>2</v>
      </c>
      <c r="V161" s="3">
        <v>2</v>
      </c>
      <c r="W161" s="3">
        <v>14</v>
      </c>
      <c r="X161" s="3" t="s">
        <v>147</v>
      </c>
      <c r="Y161" s="3">
        <v>0</v>
      </c>
      <c r="Z161" s="3">
        <v>14</v>
      </c>
      <c r="AA161" s="3">
        <v>0</v>
      </c>
      <c r="AB161" s="3">
        <v>1</v>
      </c>
      <c r="AC161" s="3">
        <v>26</v>
      </c>
      <c r="AD161" s="3">
        <v>12</v>
      </c>
      <c r="AE161" s="3">
        <v>14</v>
      </c>
      <c r="AF161" s="3" t="s">
        <v>0</v>
      </c>
      <c r="AG161" s="3" t="s">
        <v>49</v>
      </c>
    </row>
    <row r="162" spans="1:33" ht="38.25" x14ac:dyDescent="0.2">
      <c r="A162" s="5" t="str">
        <f>HYPERLINK("http://www.patentics.cn/invokexml.do?sf=ShowPatent&amp;spn=TWI433578&amp;sv=fafad7afce4d341782d990f2e19174d0","TWI433578")</f>
        <v>TWI433578</v>
      </c>
      <c r="B162" s="3" t="s">
        <v>990</v>
      </c>
      <c r="C162" s="3" t="s">
        <v>991</v>
      </c>
      <c r="D162" s="3" t="s">
        <v>992</v>
      </c>
      <c r="E162" s="3" t="s">
        <v>338</v>
      </c>
      <c r="F162" s="3" t="s">
        <v>993</v>
      </c>
      <c r="G162" s="3" t="s">
        <v>994</v>
      </c>
      <c r="H162" s="3" t="s">
        <v>950</v>
      </c>
      <c r="I162" s="3" t="s">
        <v>995</v>
      </c>
      <c r="J162" s="3" t="s">
        <v>996</v>
      </c>
      <c r="K162" s="3" t="s">
        <v>82</v>
      </c>
      <c r="L162" s="3" t="s">
        <v>997</v>
      </c>
      <c r="M162" s="3" t="s">
        <v>0</v>
      </c>
      <c r="N162" s="3" t="s">
        <v>0</v>
      </c>
      <c r="O162" s="3">
        <v>45</v>
      </c>
      <c r="P162" s="3">
        <v>12</v>
      </c>
      <c r="Q162" s="3" t="s">
        <v>60</v>
      </c>
      <c r="R162" s="3" t="s">
        <v>61</v>
      </c>
      <c r="S162" s="3">
        <v>6</v>
      </c>
      <c r="T162" s="3">
        <v>0</v>
      </c>
      <c r="U162" s="3">
        <v>6</v>
      </c>
      <c r="V162" s="3">
        <v>6</v>
      </c>
      <c r="W162" s="3">
        <v>0</v>
      </c>
      <c r="X162" s="3" t="s">
        <v>147</v>
      </c>
      <c r="Y162" s="3">
        <v>0</v>
      </c>
      <c r="Z162" s="3">
        <v>0</v>
      </c>
      <c r="AA162" s="3">
        <v>0</v>
      </c>
      <c r="AB162" s="3">
        <v>0</v>
      </c>
      <c r="AC162" s="3">
        <v>15</v>
      </c>
      <c r="AD162" s="3">
        <v>7</v>
      </c>
      <c r="AE162" s="3">
        <v>14</v>
      </c>
      <c r="AF162" s="3" t="s">
        <v>0</v>
      </c>
      <c r="AG162" s="3" t="s">
        <v>0</v>
      </c>
    </row>
    <row r="163" spans="1:33" ht="51" x14ac:dyDescent="0.2">
      <c r="A163" s="5" t="str">
        <f>HYPERLINK("http://www.patentics.cn/invokexml.do?sf=ShowPatent&amp;spn=TWI435638&amp;sv=cf7f0ae3cfe235fbc17ee37cedd9cbce","TWI435638")</f>
        <v>TWI435638</v>
      </c>
      <c r="B163" s="3" t="s">
        <v>998</v>
      </c>
      <c r="C163" s="3" t="s">
        <v>999</v>
      </c>
      <c r="D163" s="3" t="s">
        <v>992</v>
      </c>
      <c r="E163" s="3" t="s">
        <v>338</v>
      </c>
      <c r="F163" s="3" t="s">
        <v>1000</v>
      </c>
      <c r="G163" s="3" t="s">
        <v>1001</v>
      </c>
      <c r="H163" s="3" t="s">
        <v>916</v>
      </c>
      <c r="I163" s="3" t="s">
        <v>983</v>
      </c>
      <c r="J163" s="3" t="s">
        <v>1002</v>
      </c>
      <c r="K163" s="3" t="s">
        <v>82</v>
      </c>
      <c r="L163" s="3" t="s">
        <v>244</v>
      </c>
      <c r="M163" s="3" t="s">
        <v>0</v>
      </c>
      <c r="N163" s="3" t="s">
        <v>0</v>
      </c>
      <c r="O163" s="3">
        <v>57</v>
      </c>
      <c r="P163" s="3">
        <v>23</v>
      </c>
      <c r="Q163" s="3" t="s">
        <v>60</v>
      </c>
      <c r="R163" s="3" t="s">
        <v>61</v>
      </c>
      <c r="S163" s="3">
        <v>3</v>
      </c>
      <c r="T163" s="3">
        <v>0</v>
      </c>
      <c r="U163" s="3">
        <v>3</v>
      </c>
      <c r="V163" s="3">
        <v>3</v>
      </c>
      <c r="W163" s="3">
        <v>14</v>
      </c>
      <c r="X163" s="3" t="s">
        <v>147</v>
      </c>
      <c r="Y163" s="3">
        <v>0</v>
      </c>
      <c r="Z163" s="3">
        <v>14</v>
      </c>
      <c r="AA163" s="3">
        <v>0</v>
      </c>
      <c r="AB163" s="3">
        <v>1</v>
      </c>
      <c r="AC163" s="3">
        <v>26</v>
      </c>
      <c r="AD163" s="3">
        <v>12</v>
      </c>
      <c r="AE163" s="3">
        <v>14</v>
      </c>
      <c r="AF163" s="3" t="s">
        <v>0</v>
      </c>
      <c r="AG163" s="3" t="s">
        <v>0</v>
      </c>
    </row>
    <row r="164" spans="1:33" ht="89.25" x14ac:dyDescent="0.2">
      <c r="A164" s="4" t="str">
        <f>HYPERLINK("http://www.patentics.cn/invokexml.do?sf=ShowPatent&amp;spn=US20100029278&amp;sv=25c8392f31bc3ddf66b841a16fbbea77","US20100029278")</f>
        <v>US20100029278</v>
      </c>
      <c r="B164" s="2" t="s">
        <v>1003</v>
      </c>
      <c r="C164" s="2" t="s">
        <v>1004</v>
      </c>
      <c r="D164" s="2" t="s">
        <v>346</v>
      </c>
      <c r="E164" s="2" t="s">
        <v>346</v>
      </c>
      <c r="F164" s="2" t="s">
        <v>1005</v>
      </c>
      <c r="G164" s="2" t="s">
        <v>1006</v>
      </c>
      <c r="H164" s="2" t="s">
        <v>1007</v>
      </c>
      <c r="I164" s="2" t="s">
        <v>1008</v>
      </c>
      <c r="J164" s="2" t="s">
        <v>1009</v>
      </c>
      <c r="K164" s="2" t="s">
        <v>82</v>
      </c>
      <c r="L164" s="2" t="s">
        <v>1010</v>
      </c>
      <c r="M164" s="2" t="s">
        <v>82</v>
      </c>
      <c r="N164" s="2" t="s">
        <v>1011</v>
      </c>
      <c r="O164" s="2">
        <v>32</v>
      </c>
      <c r="P164" s="2">
        <v>15</v>
      </c>
      <c r="Q164" s="2" t="s">
        <v>352</v>
      </c>
      <c r="R164" s="2" t="s">
        <v>61</v>
      </c>
      <c r="S164" s="2">
        <v>0</v>
      </c>
      <c r="T164" s="2">
        <v>0</v>
      </c>
      <c r="U164" s="2">
        <v>0</v>
      </c>
      <c r="V164" s="2">
        <v>0</v>
      </c>
      <c r="W164" s="2">
        <v>26</v>
      </c>
      <c r="X164" s="2" t="s">
        <v>1012</v>
      </c>
      <c r="Y164" s="2">
        <v>0</v>
      </c>
      <c r="Z164" s="2">
        <v>26</v>
      </c>
      <c r="AA164" s="2">
        <v>10</v>
      </c>
      <c r="AB164" s="2">
        <v>3</v>
      </c>
      <c r="AC164" s="2">
        <v>3</v>
      </c>
      <c r="AD164" s="2">
        <v>2</v>
      </c>
      <c r="AE164" s="2" t="s">
        <v>0</v>
      </c>
      <c r="AF164" s="2">
        <v>17</v>
      </c>
      <c r="AG164" s="2" t="s">
        <v>49</v>
      </c>
    </row>
    <row r="165" spans="1:33" ht="165.75" x14ac:dyDescent="0.2">
      <c r="A165" s="5" t="str">
        <f>HYPERLINK("http://www.patentics.cn/invokexml.do?sf=ShowPatent&amp;spn=US8379512&amp;sv=3ad6870d2f97b57d4ea932e2b3619a87","US8379512")</f>
        <v>US8379512</v>
      </c>
      <c r="B165" s="3" t="s">
        <v>1013</v>
      </c>
      <c r="C165" s="3" t="s">
        <v>1014</v>
      </c>
      <c r="D165" s="3" t="s">
        <v>52</v>
      </c>
      <c r="E165" s="3" t="s">
        <v>52</v>
      </c>
      <c r="F165" s="3" t="s">
        <v>1015</v>
      </c>
      <c r="G165" s="3" t="s">
        <v>1016</v>
      </c>
      <c r="H165" s="3" t="s">
        <v>1017</v>
      </c>
      <c r="I165" s="3" t="s">
        <v>1018</v>
      </c>
      <c r="J165" s="3" t="s">
        <v>1019</v>
      </c>
      <c r="K165" s="3" t="s">
        <v>1020</v>
      </c>
      <c r="L165" s="3" t="s">
        <v>1021</v>
      </c>
      <c r="M165" s="3" t="s">
        <v>82</v>
      </c>
      <c r="N165" s="3" t="s">
        <v>1011</v>
      </c>
      <c r="O165" s="3">
        <v>0</v>
      </c>
      <c r="P165" s="3">
        <v>10</v>
      </c>
      <c r="Q165" s="3" t="s">
        <v>60</v>
      </c>
      <c r="R165" s="3" t="s">
        <v>61</v>
      </c>
      <c r="S165" s="3">
        <v>27</v>
      </c>
      <c r="T165" s="3">
        <v>3</v>
      </c>
      <c r="U165" s="3">
        <v>24</v>
      </c>
      <c r="V165" s="3">
        <v>14</v>
      </c>
      <c r="W165" s="3">
        <v>10</v>
      </c>
      <c r="X165" s="3" t="s">
        <v>1022</v>
      </c>
      <c r="Y165" s="3">
        <v>10</v>
      </c>
      <c r="Z165" s="3">
        <v>0</v>
      </c>
      <c r="AA165" s="3">
        <v>1</v>
      </c>
      <c r="AB165" s="3">
        <v>1</v>
      </c>
      <c r="AC165" s="3">
        <v>31</v>
      </c>
      <c r="AD165" s="3">
        <v>13</v>
      </c>
      <c r="AE165" s="3">
        <v>14</v>
      </c>
      <c r="AF165" s="3" t="s">
        <v>0</v>
      </c>
      <c r="AG165" s="3" t="s">
        <v>49</v>
      </c>
    </row>
    <row r="166" spans="1:33" ht="89.25" x14ac:dyDescent="0.2">
      <c r="A166" s="5" t="str">
        <f>HYPERLINK("http://www.patentics.cn/invokexml.do?sf=ShowPatent&amp;spn=US8634438&amp;sv=abe7f94caeb9b5cee2e2026298d412d7","US8634438")</f>
        <v>US8634438</v>
      </c>
      <c r="B166" s="3" t="s">
        <v>1023</v>
      </c>
      <c r="C166" s="3" t="s">
        <v>1024</v>
      </c>
      <c r="D166" s="3" t="s">
        <v>52</v>
      </c>
      <c r="E166" s="3" t="s">
        <v>52</v>
      </c>
      <c r="F166" s="3" t="s">
        <v>1025</v>
      </c>
      <c r="G166" s="3" t="s">
        <v>1026</v>
      </c>
      <c r="H166" s="3" t="s">
        <v>1027</v>
      </c>
      <c r="I166" s="3" t="s">
        <v>542</v>
      </c>
      <c r="J166" s="3" t="s">
        <v>1028</v>
      </c>
      <c r="K166" s="3" t="s">
        <v>82</v>
      </c>
      <c r="L166" s="3" t="s">
        <v>83</v>
      </c>
      <c r="M166" s="3" t="s">
        <v>82</v>
      </c>
      <c r="N166" s="3" t="s">
        <v>290</v>
      </c>
      <c r="O166" s="3">
        <v>0</v>
      </c>
      <c r="P166" s="3">
        <v>12</v>
      </c>
      <c r="Q166" s="3" t="s">
        <v>60</v>
      </c>
      <c r="R166" s="3" t="s">
        <v>61</v>
      </c>
      <c r="S166" s="3">
        <v>17</v>
      </c>
      <c r="T166" s="3">
        <v>3</v>
      </c>
      <c r="U166" s="3">
        <v>14</v>
      </c>
      <c r="V166" s="3">
        <v>11</v>
      </c>
      <c r="W166" s="3">
        <v>0</v>
      </c>
      <c r="X166" s="3" t="s">
        <v>147</v>
      </c>
      <c r="Y166" s="3">
        <v>0</v>
      </c>
      <c r="Z166" s="3">
        <v>0</v>
      </c>
      <c r="AA166" s="3">
        <v>0</v>
      </c>
      <c r="AB166" s="3">
        <v>0</v>
      </c>
      <c r="AC166" s="3">
        <v>10</v>
      </c>
      <c r="AD166" s="3">
        <v>7</v>
      </c>
      <c r="AE166" s="3">
        <v>14</v>
      </c>
      <c r="AF166" s="3" t="s">
        <v>0</v>
      </c>
      <c r="AG166" s="3" t="s">
        <v>49</v>
      </c>
    </row>
    <row r="167" spans="1:33" ht="165.75" x14ac:dyDescent="0.2">
      <c r="A167" s="5" t="str">
        <f>HYPERLINK("http://www.patentics.cn/invokexml.do?sf=ShowPatent&amp;spn=US8760998&amp;sv=a6c47d5155839878a439bfea84363abf","US8760998")</f>
        <v>US8760998</v>
      </c>
      <c r="B167" s="3" t="s">
        <v>1029</v>
      </c>
      <c r="C167" s="3" t="s">
        <v>1014</v>
      </c>
      <c r="D167" s="3" t="s">
        <v>52</v>
      </c>
      <c r="E167" s="3" t="s">
        <v>52</v>
      </c>
      <c r="F167" s="3" t="s">
        <v>1015</v>
      </c>
      <c r="G167" s="3" t="s">
        <v>1016</v>
      </c>
      <c r="H167" s="3" t="s">
        <v>1017</v>
      </c>
      <c r="I167" s="3" t="s">
        <v>1030</v>
      </c>
      <c r="J167" s="3" t="s">
        <v>1031</v>
      </c>
      <c r="K167" s="3" t="s">
        <v>70</v>
      </c>
      <c r="L167" s="3" t="s">
        <v>463</v>
      </c>
      <c r="M167" s="3" t="s">
        <v>82</v>
      </c>
      <c r="N167" s="3" t="s">
        <v>1011</v>
      </c>
      <c r="O167" s="3">
        <v>0</v>
      </c>
      <c r="P167" s="3">
        <v>10</v>
      </c>
      <c r="Q167" s="3" t="s">
        <v>60</v>
      </c>
      <c r="R167" s="3" t="s">
        <v>61</v>
      </c>
      <c r="S167" s="3">
        <v>51</v>
      </c>
      <c r="T167" s="3">
        <v>7</v>
      </c>
      <c r="U167" s="3">
        <v>44</v>
      </c>
      <c r="V167" s="3">
        <v>20</v>
      </c>
      <c r="W167" s="3">
        <v>0</v>
      </c>
      <c r="X167" s="3" t="s">
        <v>147</v>
      </c>
      <c r="Y167" s="3">
        <v>0</v>
      </c>
      <c r="Z167" s="3">
        <v>0</v>
      </c>
      <c r="AA167" s="3">
        <v>0</v>
      </c>
      <c r="AB167" s="3">
        <v>0</v>
      </c>
      <c r="AC167" s="3">
        <v>31</v>
      </c>
      <c r="AD167" s="3">
        <v>13</v>
      </c>
      <c r="AE167" s="3">
        <v>14</v>
      </c>
      <c r="AF167" s="3" t="s">
        <v>0</v>
      </c>
      <c r="AG167" s="3" t="s">
        <v>49</v>
      </c>
    </row>
    <row r="168" spans="1:33" ht="153" x14ac:dyDescent="0.2">
      <c r="A168" s="5" t="str">
        <f>HYPERLINK("http://www.patentics.cn/invokexml.do?sf=ShowPatent&amp;spn=US8798628&amp;sv=f757f112a6989451ab1efde7464e6dc8","US8798628")</f>
        <v>US8798628</v>
      </c>
      <c r="B168" s="3" t="s">
        <v>1032</v>
      </c>
      <c r="C168" s="3" t="s">
        <v>1033</v>
      </c>
      <c r="D168" s="3" t="s">
        <v>52</v>
      </c>
      <c r="E168" s="3" t="s">
        <v>52</v>
      </c>
      <c r="F168" s="3" t="s">
        <v>1034</v>
      </c>
      <c r="G168" s="3" t="s">
        <v>1035</v>
      </c>
      <c r="H168" s="3" t="s">
        <v>1036</v>
      </c>
      <c r="I168" s="3" t="s">
        <v>1037</v>
      </c>
      <c r="J168" s="3" t="s">
        <v>1038</v>
      </c>
      <c r="K168" s="3" t="s">
        <v>82</v>
      </c>
      <c r="L168" s="3" t="s">
        <v>177</v>
      </c>
      <c r="M168" s="3" t="s">
        <v>0</v>
      </c>
      <c r="N168" s="3" t="s">
        <v>0</v>
      </c>
      <c r="O168" s="3">
        <v>0</v>
      </c>
      <c r="P168" s="3">
        <v>14</v>
      </c>
      <c r="Q168" s="3" t="s">
        <v>60</v>
      </c>
      <c r="R168" s="3" t="s">
        <v>61</v>
      </c>
      <c r="S168" s="3">
        <v>29</v>
      </c>
      <c r="T168" s="3">
        <v>18</v>
      </c>
      <c r="U168" s="3">
        <v>11</v>
      </c>
      <c r="V168" s="3">
        <v>8</v>
      </c>
      <c r="W168" s="3">
        <v>0</v>
      </c>
      <c r="X168" s="3" t="s">
        <v>147</v>
      </c>
      <c r="Y168" s="3">
        <v>0</v>
      </c>
      <c r="Z168" s="3">
        <v>0</v>
      </c>
      <c r="AA168" s="3">
        <v>0</v>
      </c>
      <c r="AB168" s="3">
        <v>0</v>
      </c>
      <c r="AC168" s="3">
        <v>31</v>
      </c>
      <c r="AD168" s="3">
        <v>7</v>
      </c>
      <c r="AE168" s="3">
        <v>14</v>
      </c>
      <c r="AF168" s="3" t="s">
        <v>0</v>
      </c>
      <c r="AG168" s="3" t="s">
        <v>49</v>
      </c>
    </row>
    <row r="169" spans="1:33" ht="114.75" x14ac:dyDescent="0.2">
      <c r="A169" s="5" t="str">
        <f>HYPERLINK("http://www.patentics.cn/invokexml.do?sf=ShowPatent&amp;spn=US8838117&amp;sv=cf6da97034f2afd5365ba147633478e2","US8838117")</f>
        <v>US8838117</v>
      </c>
      <c r="B169" s="3" t="s">
        <v>1039</v>
      </c>
      <c r="C169" s="3" t="s">
        <v>1040</v>
      </c>
      <c r="D169" s="3" t="s">
        <v>52</v>
      </c>
      <c r="E169" s="3" t="s">
        <v>52</v>
      </c>
      <c r="F169" s="3" t="s">
        <v>1041</v>
      </c>
      <c r="G169" s="3" t="s">
        <v>1042</v>
      </c>
      <c r="H169" s="3" t="s">
        <v>1043</v>
      </c>
      <c r="I169" s="3" t="s">
        <v>1044</v>
      </c>
      <c r="J169" s="3" t="s">
        <v>1045</v>
      </c>
      <c r="K169" s="3" t="s">
        <v>82</v>
      </c>
      <c r="L169" s="3" t="s">
        <v>177</v>
      </c>
      <c r="M169" s="3" t="s">
        <v>82</v>
      </c>
      <c r="N169" s="3" t="s">
        <v>1046</v>
      </c>
      <c r="O169" s="3">
        <v>0</v>
      </c>
      <c r="P169" s="3">
        <v>15</v>
      </c>
      <c r="Q169" s="3" t="s">
        <v>60</v>
      </c>
      <c r="R169" s="3" t="s">
        <v>61</v>
      </c>
      <c r="S169" s="3">
        <v>82</v>
      </c>
      <c r="T169" s="3">
        <v>17</v>
      </c>
      <c r="U169" s="3">
        <v>65</v>
      </c>
      <c r="V169" s="3">
        <v>21</v>
      </c>
      <c r="W169" s="3">
        <v>0</v>
      </c>
      <c r="X169" s="3" t="s">
        <v>147</v>
      </c>
      <c r="Y169" s="3">
        <v>0</v>
      </c>
      <c r="Z169" s="3">
        <v>0</v>
      </c>
      <c r="AA169" s="3">
        <v>0</v>
      </c>
      <c r="AB169" s="3">
        <v>0</v>
      </c>
      <c r="AC169" s="3">
        <v>8</v>
      </c>
      <c r="AD169" s="3">
        <v>6</v>
      </c>
      <c r="AE169" s="3">
        <v>14</v>
      </c>
      <c r="AF169" s="3" t="s">
        <v>0</v>
      </c>
      <c r="AG169" s="3" t="s">
        <v>49</v>
      </c>
    </row>
    <row r="170" spans="1:33" ht="51" x14ac:dyDescent="0.2">
      <c r="A170" s="5" t="str">
        <f>HYPERLINK("http://www.patentics.cn/invokexml.do?sf=ShowPatent&amp;spn=US8842560&amp;sv=a9ec46c38638a7c298954ee882611fc2","US8842560")</f>
        <v>US8842560</v>
      </c>
      <c r="B170" s="3" t="s">
        <v>1047</v>
      </c>
      <c r="C170" s="3" t="s">
        <v>1048</v>
      </c>
      <c r="D170" s="3" t="s">
        <v>52</v>
      </c>
      <c r="E170" s="3" t="s">
        <v>52</v>
      </c>
      <c r="F170" s="3" t="s">
        <v>1049</v>
      </c>
      <c r="G170" s="3" t="s">
        <v>1050</v>
      </c>
      <c r="H170" s="3" t="s">
        <v>1051</v>
      </c>
      <c r="I170" s="3" t="s">
        <v>1051</v>
      </c>
      <c r="J170" s="3" t="s">
        <v>183</v>
      </c>
      <c r="K170" s="3" t="s">
        <v>58</v>
      </c>
      <c r="L170" s="3" t="s">
        <v>763</v>
      </c>
      <c r="M170" s="3" t="s">
        <v>82</v>
      </c>
      <c r="N170" s="3" t="s">
        <v>1052</v>
      </c>
      <c r="O170" s="3">
        <v>0</v>
      </c>
      <c r="P170" s="3">
        <v>22</v>
      </c>
      <c r="Q170" s="3" t="s">
        <v>60</v>
      </c>
      <c r="R170" s="3" t="s">
        <v>61</v>
      </c>
      <c r="S170" s="3">
        <v>15</v>
      </c>
      <c r="T170" s="3">
        <v>2</v>
      </c>
      <c r="U170" s="3">
        <v>13</v>
      </c>
      <c r="V170" s="3">
        <v>9</v>
      </c>
      <c r="W170" s="3">
        <v>0</v>
      </c>
      <c r="X170" s="3" t="s">
        <v>147</v>
      </c>
      <c r="Y170" s="3">
        <v>0</v>
      </c>
      <c r="Z170" s="3">
        <v>0</v>
      </c>
      <c r="AA170" s="3">
        <v>0</v>
      </c>
      <c r="AB170" s="3">
        <v>0</v>
      </c>
      <c r="AC170" s="3">
        <v>8</v>
      </c>
      <c r="AD170" s="3">
        <v>6</v>
      </c>
      <c r="AE170" s="3">
        <v>14</v>
      </c>
      <c r="AF170" s="3" t="s">
        <v>0</v>
      </c>
      <c r="AG170" s="3" t="s">
        <v>49</v>
      </c>
    </row>
    <row r="171" spans="1:33" ht="38.25" x14ac:dyDescent="0.2">
      <c r="A171" s="5" t="str">
        <f>HYPERLINK("http://www.patentics.cn/invokexml.do?sf=ShowPatent&amp;spn=US8879461&amp;sv=ea497477d1f4eaeb1395432cfbcb6fed","US8879461")</f>
        <v>US8879461</v>
      </c>
      <c r="B171" s="3" t="s">
        <v>1053</v>
      </c>
      <c r="C171" s="3" t="s">
        <v>1054</v>
      </c>
      <c r="D171" s="3" t="s">
        <v>52</v>
      </c>
      <c r="E171" s="3" t="s">
        <v>52</v>
      </c>
      <c r="F171" s="3" t="s">
        <v>1055</v>
      </c>
      <c r="G171" s="3" t="s">
        <v>78</v>
      </c>
      <c r="H171" s="3" t="s">
        <v>1027</v>
      </c>
      <c r="I171" s="3" t="s">
        <v>1056</v>
      </c>
      <c r="J171" s="3" t="s">
        <v>187</v>
      </c>
      <c r="K171" s="3" t="s">
        <v>70</v>
      </c>
      <c r="L171" s="3" t="s">
        <v>1057</v>
      </c>
      <c r="M171" s="3" t="s">
        <v>82</v>
      </c>
      <c r="N171" s="3" t="s">
        <v>1058</v>
      </c>
      <c r="O171" s="3">
        <v>0</v>
      </c>
      <c r="P171" s="3">
        <v>18</v>
      </c>
      <c r="Q171" s="3" t="s">
        <v>60</v>
      </c>
      <c r="R171" s="3" t="s">
        <v>61</v>
      </c>
      <c r="S171" s="3">
        <v>47</v>
      </c>
      <c r="T171" s="3">
        <v>4</v>
      </c>
      <c r="U171" s="3">
        <v>43</v>
      </c>
      <c r="V171" s="3">
        <v>22</v>
      </c>
      <c r="W171" s="3">
        <v>0</v>
      </c>
      <c r="X171" s="3" t="s">
        <v>147</v>
      </c>
      <c r="Y171" s="3">
        <v>0</v>
      </c>
      <c r="Z171" s="3">
        <v>0</v>
      </c>
      <c r="AA171" s="3">
        <v>0</v>
      </c>
      <c r="AB171" s="3">
        <v>0</v>
      </c>
      <c r="AC171" s="3">
        <v>17</v>
      </c>
      <c r="AD171" s="3">
        <v>7</v>
      </c>
      <c r="AE171" s="3">
        <v>14</v>
      </c>
      <c r="AF171" s="3" t="s">
        <v>0</v>
      </c>
      <c r="AG171" s="3" t="s">
        <v>49</v>
      </c>
    </row>
    <row r="172" spans="1:33" ht="165.75" x14ac:dyDescent="0.2">
      <c r="A172" s="5" t="str">
        <f>HYPERLINK("http://www.patentics.cn/invokexml.do?sf=ShowPatent&amp;spn=US8886200&amp;sv=379b041304ba8030187c660cca9f7e1f","US8886200")</f>
        <v>US8886200</v>
      </c>
      <c r="B172" s="3" t="s">
        <v>1059</v>
      </c>
      <c r="C172" s="3" t="s">
        <v>1060</v>
      </c>
      <c r="D172" s="3" t="s">
        <v>52</v>
      </c>
      <c r="E172" s="3" t="s">
        <v>52</v>
      </c>
      <c r="F172" s="3" t="s">
        <v>1015</v>
      </c>
      <c r="G172" s="3" t="s">
        <v>1016</v>
      </c>
      <c r="H172" s="3" t="s">
        <v>1017</v>
      </c>
      <c r="I172" s="3" t="s">
        <v>1018</v>
      </c>
      <c r="J172" s="3" t="s">
        <v>196</v>
      </c>
      <c r="K172" s="3" t="s">
        <v>82</v>
      </c>
      <c r="L172" s="3" t="s">
        <v>177</v>
      </c>
      <c r="M172" s="3" t="s">
        <v>82</v>
      </c>
      <c r="N172" s="3" t="s">
        <v>1011</v>
      </c>
      <c r="O172" s="3">
        <v>0</v>
      </c>
      <c r="P172" s="3">
        <v>15</v>
      </c>
      <c r="Q172" s="3" t="s">
        <v>60</v>
      </c>
      <c r="R172" s="3" t="s">
        <v>61</v>
      </c>
      <c r="S172" s="3">
        <v>53</v>
      </c>
      <c r="T172" s="3">
        <v>9</v>
      </c>
      <c r="U172" s="3">
        <v>44</v>
      </c>
      <c r="V172" s="3">
        <v>20</v>
      </c>
      <c r="W172" s="3">
        <v>1</v>
      </c>
      <c r="X172" s="3" t="s">
        <v>1061</v>
      </c>
      <c r="Y172" s="3">
        <v>0</v>
      </c>
      <c r="Z172" s="3">
        <v>1</v>
      </c>
      <c r="AA172" s="3">
        <v>1</v>
      </c>
      <c r="AB172" s="3">
        <v>1</v>
      </c>
      <c r="AC172" s="3">
        <v>31</v>
      </c>
      <c r="AD172" s="3">
        <v>13</v>
      </c>
      <c r="AE172" s="3">
        <v>14</v>
      </c>
      <c r="AF172" s="3" t="s">
        <v>0</v>
      </c>
      <c r="AG172" s="3" t="s">
        <v>49</v>
      </c>
    </row>
    <row r="173" spans="1:33" ht="153" x14ac:dyDescent="0.2">
      <c r="A173" s="5" t="str">
        <f>HYPERLINK("http://www.patentics.cn/invokexml.do?sf=ShowPatent&amp;spn=US8897779&amp;sv=38a7db2ae8ac63c2a30408888c8710dc","US8897779")</f>
        <v>US8897779</v>
      </c>
      <c r="B173" s="3" t="s">
        <v>1062</v>
      </c>
      <c r="C173" s="3" t="s">
        <v>1063</v>
      </c>
      <c r="D173" s="3" t="s">
        <v>52</v>
      </c>
      <c r="E173" s="3" t="s">
        <v>52</v>
      </c>
      <c r="F173" s="3" t="s">
        <v>1034</v>
      </c>
      <c r="G173" s="3" t="s">
        <v>1035</v>
      </c>
      <c r="H173" s="3" t="s">
        <v>1036</v>
      </c>
      <c r="I173" s="3" t="s">
        <v>1037</v>
      </c>
      <c r="J173" s="3" t="s">
        <v>1064</v>
      </c>
      <c r="K173" s="3" t="s">
        <v>82</v>
      </c>
      <c r="L173" s="3" t="s">
        <v>177</v>
      </c>
      <c r="M173" s="3" t="s">
        <v>82</v>
      </c>
      <c r="N173" s="3" t="s">
        <v>1065</v>
      </c>
      <c r="O173" s="3">
        <v>0</v>
      </c>
      <c r="P173" s="3">
        <v>18</v>
      </c>
      <c r="Q173" s="3" t="s">
        <v>60</v>
      </c>
      <c r="R173" s="3" t="s">
        <v>61</v>
      </c>
      <c r="S173" s="3">
        <v>31</v>
      </c>
      <c r="T173" s="3">
        <v>18</v>
      </c>
      <c r="U173" s="3">
        <v>13</v>
      </c>
      <c r="V173" s="3">
        <v>10</v>
      </c>
      <c r="W173" s="3">
        <v>0</v>
      </c>
      <c r="X173" s="3" t="s">
        <v>147</v>
      </c>
      <c r="Y173" s="3">
        <v>0</v>
      </c>
      <c r="Z173" s="3">
        <v>0</v>
      </c>
      <c r="AA173" s="3">
        <v>0</v>
      </c>
      <c r="AB173" s="3">
        <v>0</v>
      </c>
      <c r="AC173" s="3">
        <v>31</v>
      </c>
      <c r="AD173" s="3">
        <v>7</v>
      </c>
      <c r="AE173" s="3">
        <v>14</v>
      </c>
      <c r="AF173" s="3" t="s">
        <v>0</v>
      </c>
      <c r="AG173" s="3" t="s">
        <v>49</v>
      </c>
    </row>
    <row r="174" spans="1:33" ht="89.25" x14ac:dyDescent="0.2">
      <c r="A174" s="5" t="str">
        <f>HYPERLINK("http://www.patentics.cn/invokexml.do?sf=ShowPatent&amp;spn=US8954051&amp;sv=c6de935ba2d2ab3ecae4188217cd5428","US8954051")</f>
        <v>US8954051</v>
      </c>
      <c r="B174" s="3" t="s">
        <v>1066</v>
      </c>
      <c r="C174" s="3" t="s">
        <v>1067</v>
      </c>
      <c r="D174" s="3" t="s">
        <v>52</v>
      </c>
      <c r="E174" s="3" t="s">
        <v>52</v>
      </c>
      <c r="F174" s="3" t="s">
        <v>1068</v>
      </c>
      <c r="G174" s="3" t="s">
        <v>1035</v>
      </c>
      <c r="H174" s="3" t="s">
        <v>1043</v>
      </c>
      <c r="I174" s="3" t="s">
        <v>1069</v>
      </c>
      <c r="J174" s="3" t="s">
        <v>1070</v>
      </c>
      <c r="K174" s="3" t="s">
        <v>82</v>
      </c>
      <c r="L174" s="3" t="s">
        <v>83</v>
      </c>
      <c r="M174" s="3" t="s">
        <v>82</v>
      </c>
      <c r="N174" s="3" t="s">
        <v>1046</v>
      </c>
      <c r="O174" s="3">
        <v>0</v>
      </c>
      <c r="P174" s="3">
        <v>16</v>
      </c>
      <c r="Q174" s="3" t="s">
        <v>60</v>
      </c>
      <c r="R174" s="3" t="s">
        <v>61</v>
      </c>
      <c r="S174" s="3">
        <v>83</v>
      </c>
      <c r="T174" s="3">
        <v>17</v>
      </c>
      <c r="U174" s="3">
        <v>66</v>
      </c>
      <c r="V174" s="3">
        <v>22</v>
      </c>
      <c r="W174" s="3">
        <v>2</v>
      </c>
      <c r="X174" s="3" t="s">
        <v>933</v>
      </c>
      <c r="Y174" s="3">
        <v>0</v>
      </c>
      <c r="Z174" s="3">
        <v>2</v>
      </c>
      <c r="AA174" s="3">
        <v>2</v>
      </c>
      <c r="AB174" s="3">
        <v>1</v>
      </c>
      <c r="AC174" s="3">
        <v>9</v>
      </c>
      <c r="AD174" s="3">
        <v>6</v>
      </c>
      <c r="AE174" s="3">
        <v>14</v>
      </c>
      <c r="AF174" s="3" t="s">
        <v>0</v>
      </c>
      <c r="AG174" s="3" t="s">
        <v>49</v>
      </c>
    </row>
    <row r="175" spans="1:33" ht="153" x14ac:dyDescent="0.2">
      <c r="A175" s="5" t="str">
        <f>HYPERLINK("http://www.patentics.cn/invokexml.do?sf=ShowPatent&amp;spn=US9002358&amp;sv=0c160b3a75c99ecb6e44d1cffcf0a0e1","US9002358")</f>
        <v>US9002358</v>
      </c>
      <c r="B175" s="3" t="s">
        <v>1032</v>
      </c>
      <c r="C175" s="3" t="s">
        <v>1033</v>
      </c>
      <c r="D175" s="3" t="s">
        <v>52</v>
      </c>
      <c r="E175" s="3" t="s">
        <v>52</v>
      </c>
      <c r="F175" s="3" t="s">
        <v>1034</v>
      </c>
      <c r="G175" s="3" t="s">
        <v>1035</v>
      </c>
      <c r="H175" s="3" t="s">
        <v>1036</v>
      </c>
      <c r="I175" s="3" t="s">
        <v>1037</v>
      </c>
      <c r="J175" s="3" t="s">
        <v>1071</v>
      </c>
      <c r="K175" s="3" t="s">
        <v>82</v>
      </c>
      <c r="L175" s="3" t="s">
        <v>177</v>
      </c>
      <c r="M175" s="3" t="s">
        <v>82</v>
      </c>
      <c r="N175" s="3" t="s">
        <v>1065</v>
      </c>
      <c r="O175" s="3">
        <v>0</v>
      </c>
      <c r="P175" s="3">
        <v>14</v>
      </c>
      <c r="Q175" s="3" t="s">
        <v>60</v>
      </c>
      <c r="R175" s="3" t="s">
        <v>61</v>
      </c>
      <c r="S175" s="3">
        <v>31</v>
      </c>
      <c r="T175" s="3">
        <v>18</v>
      </c>
      <c r="U175" s="3">
        <v>13</v>
      </c>
      <c r="V175" s="3">
        <v>10</v>
      </c>
      <c r="W175" s="3">
        <v>0</v>
      </c>
      <c r="X175" s="3" t="s">
        <v>147</v>
      </c>
      <c r="Y175" s="3">
        <v>0</v>
      </c>
      <c r="Z175" s="3">
        <v>0</v>
      </c>
      <c r="AA175" s="3">
        <v>0</v>
      </c>
      <c r="AB175" s="3">
        <v>0</v>
      </c>
      <c r="AC175" s="3">
        <v>31</v>
      </c>
      <c r="AD175" s="3">
        <v>7</v>
      </c>
      <c r="AE175" s="3">
        <v>14</v>
      </c>
      <c r="AF175" s="3" t="s">
        <v>0</v>
      </c>
      <c r="AG175" s="3" t="s">
        <v>49</v>
      </c>
    </row>
    <row r="176" spans="1:33" ht="127.5" x14ac:dyDescent="0.2">
      <c r="A176" s="5" t="str">
        <f>HYPERLINK("http://www.patentics.cn/invokexml.do?sf=ShowPatent&amp;spn=US9072032&amp;sv=7c61383b3207f02a9157042d779f0954","US9072032")</f>
        <v>US9072032</v>
      </c>
      <c r="B176" s="3" t="s">
        <v>1072</v>
      </c>
      <c r="C176" s="3" t="s">
        <v>1073</v>
      </c>
      <c r="D176" s="3" t="s">
        <v>52</v>
      </c>
      <c r="E176" s="3" t="s">
        <v>52</v>
      </c>
      <c r="F176" s="3" t="s">
        <v>1074</v>
      </c>
      <c r="G176" s="3" t="s">
        <v>1042</v>
      </c>
      <c r="H176" s="3" t="s">
        <v>995</v>
      </c>
      <c r="I176" s="3" t="s">
        <v>658</v>
      </c>
      <c r="J176" s="3" t="s">
        <v>1075</v>
      </c>
      <c r="K176" s="3" t="s">
        <v>84</v>
      </c>
      <c r="L176" s="3" t="s">
        <v>411</v>
      </c>
      <c r="M176" s="3" t="s">
        <v>0</v>
      </c>
      <c r="N176" s="3" t="s">
        <v>0</v>
      </c>
      <c r="O176" s="3">
        <v>0</v>
      </c>
      <c r="P176" s="3">
        <v>8</v>
      </c>
      <c r="Q176" s="3" t="s">
        <v>60</v>
      </c>
      <c r="R176" s="3" t="s">
        <v>61</v>
      </c>
      <c r="S176" s="3">
        <v>92</v>
      </c>
      <c r="T176" s="3">
        <v>18</v>
      </c>
      <c r="U176" s="3">
        <v>74</v>
      </c>
      <c r="V176" s="3">
        <v>23</v>
      </c>
      <c r="W176" s="3">
        <v>0</v>
      </c>
      <c r="X176" s="3" t="s">
        <v>147</v>
      </c>
      <c r="Y176" s="3">
        <v>0</v>
      </c>
      <c r="Z176" s="3">
        <v>0</v>
      </c>
      <c r="AA176" s="3">
        <v>0</v>
      </c>
      <c r="AB176" s="3">
        <v>0</v>
      </c>
      <c r="AC176" s="3">
        <v>10</v>
      </c>
      <c r="AD176" s="3">
        <v>6</v>
      </c>
      <c r="AE176" s="3">
        <v>14</v>
      </c>
      <c r="AF176" s="3" t="s">
        <v>0</v>
      </c>
      <c r="AG176" s="3" t="s">
        <v>49</v>
      </c>
    </row>
    <row r="177" spans="1:33" ht="89.25" x14ac:dyDescent="0.2">
      <c r="A177" s="5" t="str">
        <f>HYPERLINK("http://www.patentics.cn/invokexml.do?sf=ShowPatent&amp;spn=US9088981&amp;sv=0c454e4937685529b86381da1056e9f9","US9088981")</f>
        <v>US9088981</v>
      </c>
      <c r="B177" s="3" t="s">
        <v>1076</v>
      </c>
      <c r="C177" s="3" t="s">
        <v>1077</v>
      </c>
      <c r="D177" s="3" t="s">
        <v>52</v>
      </c>
      <c r="E177" s="3" t="s">
        <v>52</v>
      </c>
      <c r="F177" s="3" t="s">
        <v>1078</v>
      </c>
      <c r="G177" s="3" t="s">
        <v>1079</v>
      </c>
      <c r="H177" s="3" t="s">
        <v>1080</v>
      </c>
      <c r="I177" s="3" t="s">
        <v>1081</v>
      </c>
      <c r="J177" s="3" t="s">
        <v>212</v>
      </c>
      <c r="K177" s="3" t="s">
        <v>70</v>
      </c>
      <c r="L177" s="3" t="s">
        <v>1082</v>
      </c>
      <c r="M177" s="3" t="s">
        <v>0</v>
      </c>
      <c r="N177" s="3" t="s">
        <v>0</v>
      </c>
      <c r="O177" s="3">
        <v>0</v>
      </c>
      <c r="P177" s="3">
        <v>9</v>
      </c>
      <c r="Q177" s="3" t="s">
        <v>60</v>
      </c>
      <c r="R177" s="3" t="s">
        <v>61</v>
      </c>
      <c r="S177" s="3">
        <v>18</v>
      </c>
      <c r="T177" s="3">
        <v>10</v>
      </c>
      <c r="U177" s="3">
        <v>8</v>
      </c>
      <c r="V177" s="3">
        <v>5</v>
      </c>
      <c r="W177" s="3">
        <v>0</v>
      </c>
      <c r="X177" s="3" t="s">
        <v>147</v>
      </c>
      <c r="Y177" s="3">
        <v>0</v>
      </c>
      <c r="Z177" s="3">
        <v>0</v>
      </c>
      <c r="AA177" s="3">
        <v>0</v>
      </c>
      <c r="AB177" s="3">
        <v>0</v>
      </c>
      <c r="AC177" s="3">
        <v>5</v>
      </c>
      <c r="AD177" s="3">
        <v>2</v>
      </c>
      <c r="AE177" s="3">
        <v>14</v>
      </c>
      <c r="AF177" s="3" t="s">
        <v>0</v>
      </c>
      <c r="AG177" s="3" t="s">
        <v>49</v>
      </c>
    </row>
    <row r="178" spans="1:33" ht="89.25" x14ac:dyDescent="0.2">
      <c r="A178" s="5" t="str">
        <f>HYPERLINK("http://www.patentics.cn/invokexml.do?sf=ShowPatent&amp;spn=US9119200&amp;sv=589fec15f4adae6ce993034afca0493a","US9119200")</f>
        <v>US9119200</v>
      </c>
      <c r="B178" s="3" t="s">
        <v>1083</v>
      </c>
      <c r="C178" s="3" t="s">
        <v>1084</v>
      </c>
      <c r="D178" s="3" t="s">
        <v>52</v>
      </c>
      <c r="E178" s="3" t="s">
        <v>52</v>
      </c>
      <c r="F178" s="3" t="s">
        <v>1078</v>
      </c>
      <c r="G178" s="3" t="s">
        <v>1079</v>
      </c>
      <c r="H178" s="3" t="s">
        <v>1080</v>
      </c>
      <c r="I178" s="3" t="s">
        <v>1081</v>
      </c>
      <c r="J178" s="3" t="s">
        <v>1085</v>
      </c>
      <c r="K178" s="3" t="s">
        <v>70</v>
      </c>
      <c r="L178" s="3" t="s">
        <v>1082</v>
      </c>
      <c r="M178" s="3" t="s">
        <v>0</v>
      </c>
      <c r="N178" s="3" t="s">
        <v>0</v>
      </c>
      <c r="O178" s="3">
        <v>0</v>
      </c>
      <c r="P178" s="3">
        <v>8</v>
      </c>
      <c r="Q178" s="3" t="s">
        <v>60</v>
      </c>
      <c r="R178" s="3" t="s">
        <v>61</v>
      </c>
      <c r="S178" s="3">
        <v>18</v>
      </c>
      <c r="T178" s="3">
        <v>10</v>
      </c>
      <c r="U178" s="3">
        <v>8</v>
      </c>
      <c r="V178" s="3">
        <v>5</v>
      </c>
      <c r="W178" s="3">
        <v>0</v>
      </c>
      <c r="X178" s="3" t="s">
        <v>147</v>
      </c>
      <c r="Y178" s="3">
        <v>0</v>
      </c>
      <c r="Z178" s="3">
        <v>0</v>
      </c>
      <c r="AA178" s="3">
        <v>0</v>
      </c>
      <c r="AB178" s="3">
        <v>0</v>
      </c>
      <c r="AC178" s="3">
        <v>5</v>
      </c>
      <c r="AD178" s="3">
        <v>2</v>
      </c>
      <c r="AE178" s="3">
        <v>14</v>
      </c>
      <c r="AF178" s="3" t="s">
        <v>0</v>
      </c>
      <c r="AG178" s="3" t="s">
        <v>49</v>
      </c>
    </row>
    <row r="179" spans="1:33" ht="38.25" x14ac:dyDescent="0.2">
      <c r="A179" s="5" t="str">
        <f>HYPERLINK("http://www.patentics.cn/invokexml.do?sf=ShowPatent&amp;spn=US9125217&amp;sv=a6e4ffee077000e24a08813e79324e98","US9125217")</f>
        <v>US9125217</v>
      </c>
      <c r="B179" s="3" t="s">
        <v>1086</v>
      </c>
      <c r="C179" s="3" t="s">
        <v>1054</v>
      </c>
      <c r="D179" s="3" t="s">
        <v>52</v>
      </c>
      <c r="E179" s="3" t="s">
        <v>52</v>
      </c>
      <c r="F179" s="3" t="s">
        <v>1055</v>
      </c>
      <c r="G179" s="3" t="s">
        <v>78</v>
      </c>
      <c r="H179" s="3" t="s">
        <v>1027</v>
      </c>
      <c r="I179" s="3" t="s">
        <v>1087</v>
      </c>
      <c r="J179" s="3" t="s">
        <v>816</v>
      </c>
      <c r="K179" s="3" t="s">
        <v>82</v>
      </c>
      <c r="L179" s="3" t="s">
        <v>244</v>
      </c>
      <c r="M179" s="3" t="s">
        <v>0</v>
      </c>
      <c r="N179" s="3" t="s">
        <v>0</v>
      </c>
      <c r="O179" s="3">
        <v>0</v>
      </c>
      <c r="P179" s="3">
        <v>13</v>
      </c>
      <c r="Q179" s="3" t="s">
        <v>60</v>
      </c>
      <c r="R179" s="3" t="s">
        <v>61</v>
      </c>
      <c r="S179" s="3">
        <v>54</v>
      </c>
      <c r="T179" s="3">
        <v>5</v>
      </c>
      <c r="U179" s="3">
        <v>49</v>
      </c>
      <c r="V179" s="3">
        <v>26</v>
      </c>
      <c r="W179" s="3">
        <v>0</v>
      </c>
      <c r="X179" s="3" t="s">
        <v>147</v>
      </c>
      <c r="Y179" s="3">
        <v>0</v>
      </c>
      <c r="Z179" s="3">
        <v>0</v>
      </c>
      <c r="AA179" s="3">
        <v>0</v>
      </c>
      <c r="AB179" s="3">
        <v>0</v>
      </c>
      <c r="AC179" s="3">
        <v>17</v>
      </c>
      <c r="AD179" s="3">
        <v>7</v>
      </c>
      <c r="AE179" s="3">
        <v>14</v>
      </c>
      <c r="AF179" s="3" t="s">
        <v>0</v>
      </c>
      <c r="AG179" s="3" t="s">
        <v>49</v>
      </c>
    </row>
    <row r="180" spans="1:33" ht="153" x14ac:dyDescent="0.2">
      <c r="A180" s="5" t="str">
        <f>HYPERLINK("http://www.patentics.cn/invokexml.do?sf=ShowPatent&amp;spn=US9374131&amp;sv=a5f4fa3de8fcecd4cc2bf0ce1e3ddf6f","US9374131")</f>
        <v>US9374131</v>
      </c>
      <c r="B180" s="3" t="s">
        <v>1088</v>
      </c>
      <c r="C180" s="3" t="s">
        <v>1089</v>
      </c>
      <c r="D180" s="3" t="s">
        <v>52</v>
      </c>
      <c r="E180" s="3" t="s">
        <v>52</v>
      </c>
      <c r="F180" s="3" t="s">
        <v>1090</v>
      </c>
      <c r="G180" s="3" t="s">
        <v>1091</v>
      </c>
      <c r="H180" s="3" t="s">
        <v>1092</v>
      </c>
      <c r="I180" s="3" t="s">
        <v>1093</v>
      </c>
      <c r="J180" s="3" t="s">
        <v>1094</v>
      </c>
      <c r="K180" s="3" t="s">
        <v>84</v>
      </c>
      <c r="L180" s="3" t="s">
        <v>1095</v>
      </c>
      <c r="M180" s="3" t="s">
        <v>84</v>
      </c>
      <c r="N180" s="3" t="s">
        <v>85</v>
      </c>
      <c r="O180" s="3">
        <v>0</v>
      </c>
      <c r="P180" s="3">
        <v>12</v>
      </c>
      <c r="Q180" s="3" t="s">
        <v>60</v>
      </c>
      <c r="R180" s="3" t="s">
        <v>61</v>
      </c>
      <c r="S180" s="3">
        <v>32</v>
      </c>
      <c r="T180" s="3">
        <v>3</v>
      </c>
      <c r="U180" s="3">
        <v>29</v>
      </c>
      <c r="V180" s="3">
        <v>16</v>
      </c>
      <c r="W180" s="3">
        <v>9</v>
      </c>
      <c r="X180" s="3" t="s">
        <v>1061</v>
      </c>
      <c r="Y180" s="3">
        <v>0</v>
      </c>
      <c r="Z180" s="3">
        <v>9</v>
      </c>
      <c r="AA180" s="3">
        <v>1</v>
      </c>
      <c r="AB180" s="3">
        <v>2</v>
      </c>
      <c r="AC180" s="3">
        <v>19</v>
      </c>
      <c r="AD180" s="3">
        <v>13</v>
      </c>
      <c r="AE180" s="3">
        <v>14</v>
      </c>
      <c r="AF180" s="3" t="s">
        <v>0</v>
      </c>
      <c r="AG180" s="3" t="s">
        <v>49</v>
      </c>
    </row>
    <row r="181" spans="1:33" ht="89.25" x14ac:dyDescent="0.2">
      <c r="A181" s="5" t="str">
        <f>HYPERLINK("http://www.patentics.cn/invokexml.do?sf=ShowPatent&amp;spn=CN102474767B&amp;sv=2529974b9aaa36a30ae409461dad2d00","CN102474767B")</f>
        <v>CN102474767B</v>
      </c>
      <c r="B181" s="3" t="s">
        <v>1096</v>
      </c>
      <c r="C181" s="3" t="s">
        <v>1097</v>
      </c>
      <c r="D181" s="3" t="s">
        <v>338</v>
      </c>
      <c r="E181" s="3" t="s">
        <v>338</v>
      </c>
      <c r="F181" s="3" t="s">
        <v>1098</v>
      </c>
      <c r="G181" s="3" t="s">
        <v>1099</v>
      </c>
      <c r="H181" s="3" t="s">
        <v>1036</v>
      </c>
      <c r="I181" s="3" t="s">
        <v>1100</v>
      </c>
      <c r="J181" s="3" t="s">
        <v>1101</v>
      </c>
      <c r="K181" s="3" t="s">
        <v>82</v>
      </c>
      <c r="L181" s="3" t="s">
        <v>177</v>
      </c>
      <c r="M181" s="3" t="s">
        <v>0</v>
      </c>
      <c r="N181" s="3" t="s">
        <v>0</v>
      </c>
      <c r="O181" s="3">
        <v>47</v>
      </c>
      <c r="P181" s="3">
        <v>25</v>
      </c>
      <c r="Q181" s="3" t="s">
        <v>60</v>
      </c>
      <c r="R181" s="3" t="s">
        <v>61</v>
      </c>
      <c r="S181" s="3">
        <v>1</v>
      </c>
      <c r="T181" s="3">
        <v>0</v>
      </c>
      <c r="U181" s="3">
        <v>1</v>
      </c>
      <c r="V181" s="3">
        <v>1</v>
      </c>
      <c r="W181" s="3">
        <v>0</v>
      </c>
      <c r="X181" s="3" t="s">
        <v>147</v>
      </c>
      <c r="Y181" s="3">
        <v>0</v>
      </c>
      <c r="Z181" s="3">
        <v>0</v>
      </c>
      <c r="AA181" s="3">
        <v>0</v>
      </c>
      <c r="AB181" s="3">
        <v>0</v>
      </c>
      <c r="AC181" s="3">
        <v>0</v>
      </c>
      <c r="AD181" s="3">
        <v>0</v>
      </c>
      <c r="AE181" s="3">
        <v>14</v>
      </c>
      <c r="AF181" s="3" t="s">
        <v>0</v>
      </c>
      <c r="AG181" s="3" t="s">
        <v>49</v>
      </c>
    </row>
    <row r="182" spans="1:33" ht="76.5" x14ac:dyDescent="0.2">
      <c r="A182" s="4" t="str">
        <f>HYPERLINK("http://www.patentics.cn/invokexml.do?sf=ShowPatent&amp;spn=US20050260990&amp;sv=0768750be1bf7c66b408e3e6110f929d","US20050260990")</f>
        <v>US20050260990</v>
      </c>
      <c r="B182" s="2" t="s">
        <v>1102</v>
      </c>
      <c r="C182" s="2" t="s">
        <v>1103</v>
      </c>
      <c r="D182" s="2" t="s">
        <v>346</v>
      </c>
      <c r="E182" s="2" t="s">
        <v>346</v>
      </c>
      <c r="F182" s="2" t="s">
        <v>1104</v>
      </c>
      <c r="G182" s="2" t="s">
        <v>1105</v>
      </c>
      <c r="H182" s="2" t="s">
        <v>1106</v>
      </c>
      <c r="I182" s="2" t="s">
        <v>1107</v>
      </c>
      <c r="J182" s="2" t="s">
        <v>1108</v>
      </c>
      <c r="K182" s="2" t="s">
        <v>43</v>
      </c>
      <c r="L182" s="2" t="s">
        <v>377</v>
      </c>
      <c r="M182" s="2" t="s">
        <v>0</v>
      </c>
      <c r="N182" s="2" t="s">
        <v>0</v>
      </c>
      <c r="O182" s="2">
        <v>8</v>
      </c>
      <c r="P182" s="2">
        <v>8</v>
      </c>
      <c r="Q182" s="2" t="s">
        <v>352</v>
      </c>
      <c r="R182" s="2" t="s">
        <v>47</v>
      </c>
      <c r="S182" s="2">
        <v>0</v>
      </c>
      <c r="T182" s="2">
        <v>0</v>
      </c>
      <c r="U182" s="2">
        <v>0</v>
      </c>
      <c r="V182" s="2">
        <v>0</v>
      </c>
      <c r="W182" s="2">
        <v>28</v>
      </c>
      <c r="X182" s="2" t="s">
        <v>1109</v>
      </c>
      <c r="Y182" s="2">
        <v>0</v>
      </c>
      <c r="Z182" s="2">
        <v>28</v>
      </c>
      <c r="AA182" s="2">
        <v>7</v>
      </c>
      <c r="AB182" s="2">
        <v>5</v>
      </c>
      <c r="AC182" s="2">
        <v>12</v>
      </c>
      <c r="AD182" s="2">
        <v>9</v>
      </c>
      <c r="AE182" s="2" t="s">
        <v>0</v>
      </c>
      <c r="AF182" s="2">
        <v>16</v>
      </c>
      <c r="AG182" s="2" t="s">
        <v>49</v>
      </c>
    </row>
    <row r="183" spans="1:33" ht="102" x14ac:dyDescent="0.2">
      <c r="A183" s="5" t="str">
        <f>HYPERLINK("http://www.patentics.cn/invokexml.do?sf=ShowPatent&amp;spn=US8472965&amp;sv=6a6652a5c5f271cf76df5ec2d6855c27","US8472965")</f>
        <v>US8472965</v>
      </c>
      <c r="B183" s="3" t="s">
        <v>1110</v>
      </c>
      <c r="C183" s="3" t="s">
        <v>1111</v>
      </c>
      <c r="D183" s="3" t="s">
        <v>52</v>
      </c>
      <c r="E183" s="3" t="s">
        <v>52</v>
      </c>
      <c r="F183" s="3" t="s">
        <v>1112</v>
      </c>
      <c r="G183" s="3" t="s">
        <v>1113</v>
      </c>
      <c r="H183" s="3" t="s">
        <v>1114</v>
      </c>
      <c r="I183" s="3" t="s">
        <v>1115</v>
      </c>
      <c r="J183" s="3" t="s">
        <v>1116</v>
      </c>
      <c r="K183" s="3" t="s">
        <v>82</v>
      </c>
      <c r="L183" s="3" t="s">
        <v>226</v>
      </c>
      <c r="M183" s="3" t="s">
        <v>58</v>
      </c>
      <c r="N183" s="3" t="s">
        <v>1117</v>
      </c>
      <c r="O183" s="3">
        <v>0</v>
      </c>
      <c r="P183" s="3">
        <v>7</v>
      </c>
      <c r="Q183" s="3" t="s">
        <v>60</v>
      </c>
      <c r="R183" s="3" t="s">
        <v>61</v>
      </c>
      <c r="S183" s="3">
        <v>9</v>
      </c>
      <c r="T183" s="3">
        <v>2</v>
      </c>
      <c r="U183" s="3">
        <v>7</v>
      </c>
      <c r="V183" s="3">
        <v>6</v>
      </c>
      <c r="W183" s="3">
        <v>6</v>
      </c>
      <c r="X183" s="3" t="s">
        <v>147</v>
      </c>
      <c r="Y183" s="3">
        <v>0</v>
      </c>
      <c r="Z183" s="3">
        <v>6</v>
      </c>
      <c r="AA183" s="3">
        <v>0</v>
      </c>
      <c r="AB183" s="3">
        <v>1</v>
      </c>
      <c r="AC183" s="3">
        <v>10</v>
      </c>
      <c r="AD183" s="3">
        <v>7</v>
      </c>
      <c r="AE183" s="3">
        <v>14</v>
      </c>
      <c r="AF183" s="3" t="s">
        <v>0</v>
      </c>
      <c r="AG183" s="3" t="s">
        <v>49</v>
      </c>
    </row>
    <row r="184" spans="1:33" ht="63.75" x14ac:dyDescent="0.2">
      <c r="A184" s="5" t="str">
        <f>HYPERLINK("http://www.patentics.cn/invokexml.do?sf=ShowPatent&amp;spn=US8638131&amp;sv=39265516102f7abba38053998061543f","US8638131")</f>
        <v>US8638131</v>
      </c>
      <c r="B184" s="3" t="s">
        <v>887</v>
      </c>
      <c r="C184" s="3" t="s">
        <v>888</v>
      </c>
      <c r="D184" s="3" t="s">
        <v>52</v>
      </c>
      <c r="E184" s="3" t="s">
        <v>52</v>
      </c>
      <c r="F184" s="3" t="s">
        <v>889</v>
      </c>
      <c r="G184" s="3" t="s">
        <v>890</v>
      </c>
      <c r="H184" s="3" t="s">
        <v>891</v>
      </c>
      <c r="I184" s="3" t="s">
        <v>891</v>
      </c>
      <c r="J184" s="3" t="s">
        <v>892</v>
      </c>
      <c r="K184" s="3" t="s">
        <v>893</v>
      </c>
      <c r="L184" s="3" t="s">
        <v>894</v>
      </c>
      <c r="M184" s="3" t="s">
        <v>893</v>
      </c>
      <c r="N184" s="3" t="s">
        <v>895</v>
      </c>
      <c r="O184" s="3">
        <v>0</v>
      </c>
      <c r="P184" s="3">
        <v>13</v>
      </c>
      <c r="Q184" s="3" t="s">
        <v>60</v>
      </c>
      <c r="R184" s="3" t="s">
        <v>61</v>
      </c>
      <c r="S184" s="3">
        <v>178</v>
      </c>
      <c r="T184" s="3">
        <v>42</v>
      </c>
      <c r="U184" s="3">
        <v>136</v>
      </c>
      <c r="V184" s="3">
        <v>52</v>
      </c>
      <c r="W184" s="3">
        <v>4</v>
      </c>
      <c r="X184" s="3" t="s">
        <v>896</v>
      </c>
      <c r="Y184" s="3">
        <v>2</v>
      </c>
      <c r="Z184" s="3">
        <v>2</v>
      </c>
      <c r="AA184" s="3">
        <v>3</v>
      </c>
      <c r="AB184" s="3">
        <v>1</v>
      </c>
      <c r="AC184" s="3">
        <v>3</v>
      </c>
      <c r="AD184" s="3">
        <v>2</v>
      </c>
      <c r="AE184" s="3">
        <v>14</v>
      </c>
      <c r="AF184" s="3" t="s">
        <v>0</v>
      </c>
      <c r="AG184" s="3" t="s">
        <v>49</v>
      </c>
    </row>
    <row r="185" spans="1:33" ht="63.75" x14ac:dyDescent="0.2">
      <c r="A185" s="5" t="str">
        <f>HYPERLINK("http://www.patentics.cn/invokexml.do?sf=ShowPatent&amp;spn=US8724563&amp;sv=06b4d914a8390abe11a621880ea34bde","US8724563")</f>
        <v>US8724563</v>
      </c>
      <c r="B185" s="3" t="s">
        <v>897</v>
      </c>
      <c r="C185" s="3" t="s">
        <v>898</v>
      </c>
      <c r="D185" s="3" t="s">
        <v>52</v>
      </c>
      <c r="E185" s="3" t="s">
        <v>52</v>
      </c>
      <c r="F185" s="3" t="s">
        <v>899</v>
      </c>
      <c r="G185" s="3" t="s">
        <v>900</v>
      </c>
      <c r="H185" s="3" t="s">
        <v>901</v>
      </c>
      <c r="I185" s="3" t="s">
        <v>902</v>
      </c>
      <c r="J185" s="3" t="s">
        <v>903</v>
      </c>
      <c r="K185" s="3" t="s">
        <v>82</v>
      </c>
      <c r="L185" s="3" t="s">
        <v>83</v>
      </c>
      <c r="M185" s="3" t="s">
        <v>58</v>
      </c>
      <c r="N185" s="3" t="s">
        <v>904</v>
      </c>
      <c r="O185" s="3">
        <v>0</v>
      </c>
      <c r="P185" s="3">
        <v>11</v>
      </c>
      <c r="Q185" s="3" t="s">
        <v>60</v>
      </c>
      <c r="R185" s="3" t="s">
        <v>61</v>
      </c>
      <c r="S185" s="3">
        <v>181</v>
      </c>
      <c r="T185" s="3">
        <v>42</v>
      </c>
      <c r="U185" s="3">
        <v>139</v>
      </c>
      <c r="V185" s="3">
        <v>54</v>
      </c>
      <c r="W185" s="3">
        <v>4</v>
      </c>
      <c r="X185" s="3" t="s">
        <v>905</v>
      </c>
      <c r="Y185" s="3">
        <v>3</v>
      </c>
      <c r="Z185" s="3">
        <v>1</v>
      </c>
      <c r="AA185" s="3">
        <v>2</v>
      </c>
      <c r="AB185" s="3">
        <v>1</v>
      </c>
      <c r="AC185" s="3">
        <v>21</v>
      </c>
      <c r="AD185" s="3">
        <v>7</v>
      </c>
      <c r="AE185" s="3">
        <v>14</v>
      </c>
      <c r="AF185" s="3" t="s">
        <v>0</v>
      </c>
      <c r="AG185" s="3" t="s">
        <v>49</v>
      </c>
    </row>
    <row r="186" spans="1:33" ht="76.5" x14ac:dyDescent="0.2">
      <c r="A186" s="5" t="str">
        <f>HYPERLINK("http://www.patentics.cn/invokexml.do?sf=ShowPatent&amp;spn=US8886190&amp;sv=accdd99c2216fc98d326216297465038","US8886190")</f>
        <v>US8886190</v>
      </c>
      <c r="B186" s="3" t="s">
        <v>906</v>
      </c>
      <c r="C186" s="3" t="s">
        <v>907</v>
      </c>
      <c r="D186" s="3" t="s">
        <v>52</v>
      </c>
      <c r="E186" s="3" t="s">
        <v>52</v>
      </c>
      <c r="F186" s="3" t="s">
        <v>908</v>
      </c>
      <c r="G186" s="3" t="s">
        <v>454</v>
      </c>
      <c r="H186" s="3" t="s">
        <v>909</v>
      </c>
      <c r="I186" s="3" t="s">
        <v>910</v>
      </c>
      <c r="J186" s="3" t="s">
        <v>196</v>
      </c>
      <c r="K186" s="3" t="s">
        <v>82</v>
      </c>
      <c r="L186" s="3" t="s">
        <v>911</v>
      </c>
      <c r="M186" s="3" t="s">
        <v>82</v>
      </c>
      <c r="N186" s="3" t="s">
        <v>799</v>
      </c>
      <c r="O186" s="3">
        <v>0</v>
      </c>
      <c r="P186" s="3">
        <v>10</v>
      </c>
      <c r="Q186" s="3" t="s">
        <v>60</v>
      </c>
      <c r="R186" s="3" t="s">
        <v>61</v>
      </c>
      <c r="S186" s="3">
        <v>235</v>
      </c>
      <c r="T186" s="3">
        <v>51</v>
      </c>
      <c r="U186" s="3">
        <v>184</v>
      </c>
      <c r="V186" s="3">
        <v>63</v>
      </c>
      <c r="W186" s="3">
        <v>4</v>
      </c>
      <c r="X186" s="3" t="s">
        <v>912</v>
      </c>
      <c r="Y186" s="3">
        <v>3</v>
      </c>
      <c r="Z186" s="3">
        <v>1</v>
      </c>
      <c r="AA186" s="3">
        <v>2</v>
      </c>
      <c r="AB186" s="3">
        <v>1</v>
      </c>
      <c r="AC186" s="3">
        <v>7</v>
      </c>
      <c r="AD186" s="3">
        <v>6</v>
      </c>
      <c r="AE186" s="3">
        <v>14</v>
      </c>
      <c r="AF186" s="3" t="s">
        <v>0</v>
      </c>
      <c r="AG186" s="3" t="s">
        <v>49</v>
      </c>
    </row>
    <row r="187" spans="1:33" ht="89.25" x14ac:dyDescent="0.2">
      <c r="A187" s="5" t="str">
        <f>HYPERLINK("http://www.patentics.cn/invokexml.do?sf=ShowPatent&amp;spn=US8942192&amp;sv=87109fc2ff2f4e42f1db86db68428e2e","US8942192")</f>
        <v>US8942192</v>
      </c>
      <c r="B187" s="3" t="s">
        <v>913</v>
      </c>
      <c r="C187" s="3" t="s">
        <v>914</v>
      </c>
      <c r="D187" s="3" t="s">
        <v>52</v>
      </c>
      <c r="E187" s="3" t="s">
        <v>52</v>
      </c>
      <c r="F187" s="3" t="s">
        <v>915</v>
      </c>
      <c r="G187" s="3" t="s">
        <v>454</v>
      </c>
      <c r="H187" s="3" t="s">
        <v>916</v>
      </c>
      <c r="I187" s="3" t="s">
        <v>917</v>
      </c>
      <c r="J187" s="3" t="s">
        <v>918</v>
      </c>
      <c r="K187" s="3" t="s">
        <v>82</v>
      </c>
      <c r="L187" s="3" t="s">
        <v>244</v>
      </c>
      <c r="M187" s="3" t="s">
        <v>82</v>
      </c>
      <c r="N187" s="3" t="s">
        <v>919</v>
      </c>
      <c r="O187" s="3">
        <v>0</v>
      </c>
      <c r="P187" s="3">
        <v>18</v>
      </c>
      <c r="Q187" s="3" t="s">
        <v>60</v>
      </c>
      <c r="R187" s="3" t="s">
        <v>61</v>
      </c>
      <c r="S187" s="3">
        <v>248</v>
      </c>
      <c r="T187" s="3">
        <v>52</v>
      </c>
      <c r="U187" s="3">
        <v>196</v>
      </c>
      <c r="V187" s="3">
        <v>64</v>
      </c>
      <c r="W187" s="3">
        <v>17</v>
      </c>
      <c r="X187" s="3" t="s">
        <v>920</v>
      </c>
      <c r="Y187" s="3">
        <v>1</v>
      </c>
      <c r="Z187" s="3">
        <v>16</v>
      </c>
      <c r="AA187" s="3">
        <v>3</v>
      </c>
      <c r="AB187" s="3">
        <v>2</v>
      </c>
      <c r="AC187" s="3">
        <v>26</v>
      </c>
      <c r="AD187" s="3">
        <v>12</v>
      </c>
      <c r="AE187" s="3">
        <v>14</v>
      </c>
      <c r="AF187" s="3" t="s">
        <v>0</v>
      </c>
      <c r="AG187" s="3" t="s">
        <v>49</v>
      </c>
    </row>
    <row r="188" spans="1:33" ht="76.5" x14ac:dyDescent="0.2">
      <c r="A188" s="5" t="str">
        <f>HYPERLINK("http://www.patentics.cn/invokexml.do?sf=ShowPatent&amp;spn=US9106378&amp;sv=109dca1a95e0286c0676843dc271f0e5","US9106378")</f>
        <v>US9106378</v>
      </c>
      <c r="B188" s="3" t="s">
        <v>921</v>
      </c>
      <c r="C188" s="3" t="s">
        <v>922</v>
      </c>
      <c r="D188" s="3" t="s">
        <v>52</v>
      </c>
      <c r="E188" s="3" t="s">
        <v>52</v>
      </c>
      <c r="F188" s="3" t="s">
        <v>923</v>
      </c>
      <c r="G188" s="3" t="s">
        <v>924</v>
      </c>
      <c r="H188" s="3" t="s">
        <v>925</v>
      </c>
      <c r="I188" s="3" t="s">
        <v>926</v>
      </c>
      <c r="J188" s="3" t="s">
        <v>927</v>
      </c>
      <c r="K188" s="3" t="s">
        <v>82</v>
      </c>
      <c r="L188" s="3" t="s">
        <v>226</v>
      </c>
      <c r="M188" s="3" t="s">
        <v>0</v>
      </c>
      <c r="N188" s="3" t="s">
        <v>0</v>
      </c>
      <c r="O188" s="3">
        <v>0</v>
      </c>
      <c r="P188" s="3">
        <v>17</v>
      </c>
      <c r="Q188" s="3" t="s">
        <v>60</v>
      </c>
      <c r="R188" s="3" t="s">
        <v>61</v>
      </c>
      <c r="S188" s="3">
        <v>262</v>
      </c>
      <c r="T188" s="3">
        <v>53</v>
      </c>
      <c r="U188" s="3">
        <v>209</v>
      </c>
      <c r="V188" s="3">
        <v>65</v>
      </c>
      <c r="W188" s="3">
        <v>0</v>
      </c>
      <c r="X188" s="3" t="s">
        <v>147</v>
      </c>
      <c r="Y188" s="3">
        <v>0</v>
      </c>
      <c r="Z188" s="3">
        <v>0</v>
      </c>
      <c r="AA188" s="3">
        <v>0</v>
      </c>
      <c r="AB188" s="3">
        <v>0</v>
      </c>
      <c r="AC188" s="3">
        <v>13</v>
      </c>
      <c r="AD188" s="3">
        <v>7</v>
      </c>
      <c r="AE188" s="3">
        <v>14</v>
      </c>
      <c r="AF188" s="3" t="s">
        <v>0</v>
      </c>
      <c r="AG188" s="3" t="s">
        <v>49</v>
      </c>
    </row>
    <row r="189" spans="1:33" ht="140.25" x14ac:dyDescent="0.2">
      <c r="A189" s="5" t="str">
        <f>HYPERLINK("http://www.patentics.cn/invokexml.do?sf=ShowPatent&amp;spn=US9125072&amp;sv=0a35516ca99592a4263a31d9700485cf","US9125072")</f>
        <v>US9125072</v>
      </c>
      <c r="B189" s="3" t="s">
        <v>928</v>
      </c>
      <c r="C189" s="3" t="s">
        <v>929</v>
      </c>
      <c r="D189" s="3" t="s">
        <v>52</v>
      </c>
      <c r="E189" s="3" t="s">
        <v>52</v>
      </c>
      <c r="F189" s="3" t="s">
        <v>930</v>
      </c>
      <c r="G189" s="3" t="s">
        <v>78</v>
      </c>
      <c r="H189" s="3" t="s">
        <v>931</v>
      </c>
      <c r="I189" s="3" t="s">
        <v>932</v>
      </c>
      <c r="J189" s="3" t="s">
        <v>816</v>
      </c>
      <c r="K189" s="3" t="s">
        <v>82</v>
      </c>
      <c r="L189" s="3" t="s">
        <v>226</v>
      </c>
      <c r="M189" s="3" t="s">
        <v>0</v>
      </c>
      <c r="N189" s="3" t="s">
        <v>0</v>
      </c>
      <c r="O189" s="3">
        <v>0</v>
      </c>
      <c r="P189" s="3">
        <v>11</v>
      </c>
      <c r="Q189" s="3" t="s">
        <v>60</v>
      </c>
      <c r="R189" s="3" t="s">
        <v>61</v>
      </c>
      <c r="S189" s="3">
        <v>274</v>
      </c>
      <c r="T189" s="3">
        <v>55</v>
      </c>
      <c r="U189" s="3">
        <v>219</v>
      </c>
      <c r="V189" s="3">
        <v>64</v>
      </c>
      <c r="W189" s="3">
        <v>8</v>
      </c>
      <c r="X189" s="3" t="s">
        <v>933</v>
      </c>
      <c r="Y189" s="3">
        <v>1</v>
      </c>
      <c r="Z189" s="3">
        <v>7</v>
      </c>
      <c r="AA189" s="3">
        <v>2</v>
      </c>
      <c r="AB189" s="3">
        <v>2</v>
      </c>
      <c r="AC189" s="3">
        <v>22</v>
      </c>
      <c r="AD189" s="3">
        <v>11</v>
      </c>
      <c r="AE189" s="3">
        <v>14</v>
      </c>
      <c r="AF189" s="3" t="s">
        <v>0</v>
      </c>
      <c r="AG189" s="3" t="s">
        <v>49</v>
      </c>
    </row>
    <row r="190" spans="1:33" ht="102" x14ac:dyDescent="0.2">
      <c r="A190" s="5" t="str">
        <f>HYPERLINK("http://www.patentics.cn/invokexml.do?sf=ShowPatent&amp;spn=US9144037&amp;sv=1b44d15f404b6823ede5c41f2168ed63","US9144037")</f>
        <v>US9144037</v>
      </c>
      <c r="B190" s="3" t="s">
        <v>934</v>
      </c>
      <c r="C190" s="3" t="s">
        <v>935</v>
      </c>
      <c r="D190" s="3" t="s">
        <v>52</v>
      </c>
      <c r="E190" s="3" t="s">
        <v>52</v>
      </c>
      <c r="F190" s="3" t="s">
        <v>936</v>
      </c>
      <c r="G190" s="3" t="s">
        <v>937</v>
      </c>
      <c r="H190" s="3" t="s">
        <v>938</v>
      </c>
      <c r="I190" s="3" t="s">
        <v>939</v>
      </c>
      <c r="J190" s="3" t="s">
        <v>240</v>
      </c>
      <c r="K190" s="3" t="s">
        <v>84</v>
      </c>
      <c r="L190" s="3" t="s">
        <v>163</v>
      </c>
      <c r="M190" s="3" t="s">
        <v>82</v>
      </c>
      <c r="N190" s="3" t="s">
        <v>940</v>
      </c>
      <c r="O190" s="3">
        <v>0</v>
      </c>
      <c r="P190" s="3">
        <v>15</v>
      </c>
      <c r="Q190" s="3" t="s">
        <v>60</v>
      </c>
      <c r="R190" s="3" t="s">
        <v>61</v>
      </c>
      <c r="S190" s="3">
        <v>276</v>
      </c>
      <c r="T190" s="3">
        <v>53</v>
      </c>
      <c r="U190" s="3">
        <v>223</v>
      </c>
      <c r="V190" s="3">
        <v>65</v>
      </c>
      <c r="W190" s="3">
        <v>0</v>
      </c>
      <c r="X190" s="3" t="s">
        <v>147</v>
      </c>
      <c r="Y190" s="3">
        <v>0</v>
      </c>
      <c r="Z190" s="3">
        <v>0</v>
      </c>
      <c r="AA190" s="3">
        <v>0</v>
      </c>
      <c r="AB190" s="3">
        <v>0</v>
      </c>
      <c r="AC190" s="3">
        <v>15</v>
      </c>
      <c r="AD190" s="3">
        <v>7</v>
      </c>
      <c r="AE190" s="3">
        <v>14</v>
      </c>
      <c r="AF190" s="3" t="s">
        <v>0</v>
      </c>
      <c r="AG190" s="3" t="s">
        <v>49</v>
      </c>
    </row>
    <row r="191" spans="1:33" ht="229.5" x14ac:dyDescent="0.2">
      <c r="A191" s="5" t="str">
        <f>HYPERLINK("http://www.patentics.cn/invokexml.do?sf=ShowPatent&amp;spn=US9226288&amp;sv=50d74d97714cc499dcdeeea75ddcc1b9","US9226288")</f>
        <v>US9226288</v>
      </c>
      <c r="B191" s="3" t="s">
        <v>941</v>
      </c>
      <c r="C191" s="3" t="s">
        <v>942</v>
      </c>
      <c r="D191" s="3" t="s">
        <v>52</v>
      </c>
      <c r="E191" s="3" t="s">
        <v>52</v>
      </c>
      <c r="F191" s="3" t="s">
        <v>943</v>
      </c>
      <c r="G191" s="3" t="s">
        <v>944</v>
      </c>
      <c r="H191" s="3" t="s">
        <v>931</v>
      </c>
      <c r="I191" s="3" t="s">
        <v>932</v>
      </c>
      <c r="J191" s="3" t="s">
        <v>294</v>
      </c>
      <c r="K191" s="3" t="s">
        <v>82</v>
      </c>
      <c r="L191" s="3" t="s">
        <v>83</v>
      </c>
      <c r="M191" s="3" t="s">
        <v>82</v>
      </c>
      <c r="N191" s="3" t="s">
        <v>945</v>
      </c>
      <c r="O191" s="3">
        <v>0</v>
      </c>
      <c r="P191" s="3">
        <v>15</v>
      </c>
      <c r="Q191" s="3" t="s">
        <v>60</v>
      </c>
      <c r="R191" s="3" t="s">
        <v>61</v>
      </c>
      <c r="S191" s="3">
        <v>278</v>
      </c>
      <c r="T191" s="3">
        <v>55</v>
      </c>
      <c r="U191" s="3">
        <v>223</v>
      </c>
      <c r="V191" s="3">
        <v>65</v>
      </c>
      <c r="W191" s="3">
        <v>0</v>
      </c>
      <c r="X191" s="3" t="s">
        <v>147</v>
      </c>
      <c r="Y191" s="3">
        <v>0</v>
      </c>
      <c r="Z191" s="3">
        <v>0</v>
      </c>
      <c r="AA191" s="3">
        <v>0</v>
      </c>
      <c r="AB191" s="3">
        <v>0</v>
      </c>
      <c r="AC191" s="3">
        <v>8</v>
      </c>
      <c r="AD191" s="3">
        <v>6</v>
      </c>
      <c r="AE191" s="3">
        <v>14</v>
      </c>
      <c r="AF191" s="3" t="s">
        <v>0</v>
      </c>
      <c r="AG191" s="3" t="s">
        <v>49</v>
      </c>
    </row>
    <row r="192" spans="1:33" ht="76.5" x14ac:dyDescent="0.2">
      <c r="A192" s="5" t="str">
        <f>HYPERLINK("http://www.patentics.cn/invokexml.do?sf=ShowPatent&amp;spn=US9271167&amp;sv=e401f5289229974ed8a94cd08f8a9054","US9271167")</f>
        <v>US9271167</v>
      </c>
      <c r="B192" s="3" t="s">
        <v>953</v>
      </c>
      <c r="C192" s="3" t="s">
        <v>954</v>
      </c>
      <c r="D192" s="3" t="s">
        <v>52</v>
      </c>
      <c r="E192" s="3" t="s">
        <v>52</v>
      </c>
      <c r="F192" s="3" t="s">
        <v>955</v>
      </c>
      <c r="G192" s="3" t="s">
        <v>956</v>
      </c>
      <c r="H192" s="3" t="s">
        <v>931</v>
      </c>
      <c r="I192" s="3" t="s">
        <v>957</v>
      </c>
      <c r="J192" s="3" t="s">
        <v>669</v>
      </c>
      <c r="K192" s="3" t="s">
        <v>82</v>
      </c>
      <c r="L192" s="3" t="s">
        <v>806</v>
      </c>
      <c r="M192" s="3" t="s">
        <v>82</v>
      </c>
      <c r="N192" s="3" t="s">
        <v>958</v>
      </c>
      <c r="O192" s="3">
        <v>0</v>
      </c>
      <c r="P192" s="3">
        <v>16</v>
      </c>
      <c r="Q192" s="3" t="s">
        <v>60</v>
      </c>
      <c r="R192" s="3" t="s">
        <v>61</v>
      </c>
      <c r="S192" s="3">
        <v>279</v>
      </c>
      <c r="T192" s="3">
        <v>55</v>
      </c>
      <c r="U192" s="3">
        <v>224</v>
      </c>
      <c r="V192" s="3">
        <v>65</v>
      </c>
      <c r="W192" s="3">
        <v>21</v>
      </c>
      <c r="X192" s="3" t="s">
        <v>108</v>
      </c>
      <c r="Y192" s="3">
        <v>0</v>
      </c>
      <c r="Z192" s="3">
        <v>21</v>
      </c>
      <c r="AA192" s="3">
        <v>1</v>
      </c>
      <c r="AB192" s="3">
        <v>2</v>
      </c>
      <c r="AC192" s="3">
        <v>20</v>
      </c>
      <c r="AD192" s="3">
        <v>13</v>
      </c>
      <c r="AE192" s="3">
        <v>14</v>
      </c>
      <c r="AF192" s="3" t="s">
        <v>0</v>
      </c>
      <c r="AG192" s="3" t="s">
        <v>49</v>
      </c>
    </row>
    <row r="193" spans="1:33" ht="76.5" x14ac:dyDescent="0.2">
      <c r="A193" s="5" t="str">
        <f>HYPERLINK("http://www.patentics.cn/invokexml.do?sf=ShowPatent&amp;spn=US9277566&amp;sv=1e06c5731d657aed16e04b24a7f25f6b","US9277566")</f>
        <v>US9277566</v>
      </c>
      <c r="B193" s="3" t="s">
        <v>959</v>
      </c>
      <c r="C193" s="3" t="s">
        <v>960</v>
      </c>
      <c r="D193" s="3" t="s">
        <v>52</v>
      </c>
      <c r="E193" s="3" t="s">
        <v>52</v>
      </c>
      <c r="F193" s="3" t="s">
        <v>961</v>
      </c>
      <c r="G193" s="3" t="s">
        <v>962</v>
      </c>
      <c r="H193" s="3" t="s">
        <v>963</v>
      </c>
      <c r="I193" s="3" t="s">
        <v>964</v>
      </c>
      <c r="J193" s="3" t="s">
        <v>965</v>
      </c>
      <c r="K193" s="3" t="s">
        <v>82</v>
      </c>
      <c r="L193" s="3" t="s">
        <v>83</v>
      </c>
      <c r="M193" s="3" t="s">
        <v>82</v>
      </c>
      <c r="N193" s="3" t="s">
        <v>966</v>
      </c>
      <c r="O193" s="3">
        <v>0</v>
      </c>
      <c r="P193" s="3">
        <v>10</v>
      </c>
      <c r="Q193" s="3" t="s">
        <v>60</v>
      </c>
      <c r="R193" s="3" t="s">
        <v>61</v>
      </c>
      <c r="S193" s="3">
        <v>279</v>
      </c>
      <c r="T193" s="3">
        <v>56</v>
      </c>
      <c r="U193" s="3">
        <v>223</v>
      </c>
      <c r="V193" s="3">
        <v>65</v>
      </c>
      <c r="W193" s="3">
        <v>0</v>
      </c>
      <c r="X193" s="3" t="s">
        <v>147</v>
      </c>
      <c r="Y193" s="3">
        <v>0</v>
      </c>
      <c r="Z193" s="3">
        <v>0</v>
      </c>
      <c r="AA193" s="3">
        <v>0</v>
      </c>
      <c r="AB193" s="3">
        <v>0</v>
      </c>
      <c r="AC193" s="3">
        <v>11</v>
      </c>
      <c r="AD193" s="3">
        <v>7</v>
      </c>
      <c r="AE193" s="3">
        <v>14</v>
      </c>
      <c r="AF193" s="3" t="s">
        <v>0</v>
      </c>
      <c r="AG193" s="3" t="s">
        <v>49</v>
      </c>
    </row>
    <row r="194" spans="1:33" ht="89.25" x14ac:dyDescent="0.2">
      <c r="A194" s="5" t="str">
        <f>HYPERLINK("http://www.patentics.cn/invokexml.do?sf=ShowPatent&amp;spn=US9281932&amp;sv=588db6af75c155f9b117f0850b28fd3c","US9281932")</f>
        <v>US9281932</v>
      </c>
      <c r="B194" s="3" t="s">
        <v>967</v>
      </c>
      <c r="C194" s="3" t="s">
        <v>914</v>
      </c>
      <c r="D194" s="3" t="s">
        <v>52</v>
      </c>
      <c r="E194" s="3" t="s">
        <v>52</v>
      </c>
      <c r="F194" s="3" t="s">
        <v>915</v>
      </c>
      <c r="G194" s="3" t="s">
        <v>454</v>
      </c>
      <c r="H194" s="3" t="s">
        <v>916</v>
      </c>
      <c r="I194" s="3" t="s">
        <v>968</v>
      </c>
      <c r="J194" s="3" t="s">
        <v>683</v>
      </c>
      <c r="K194" s="3" t="s">
        <v>82</v>
      </c>
      <c r="L194" s="3" t="s">
        <v>244</v>
      </c>
      <c r="M194" s="3" t="s">
        <v>58</v>
      </c>
      <c r="N194" s="3" t="s">
        <v>969</v>
      </c>
      <c r="O194" s="3">
        <v>0</v>
      </c>
      <c r="P194" s="3">
        <v>16</v>
      </c>
      <c r="Q194" s="3" t="s">
        <v>60</v>
      </c>
      <c r="R194" s="3" t="s">
        <v>61</v>
      </c>
      <c r="S194" s="3">
        <v>276</v>
      </c>
      <c r="T194" s="3">
        <v>54</v>
      </c>
      <c r="U194" s="3">
        <v>222</v>
      </c>
      <c r="V194" s="3">
        <v>64</v>
      </c>
      <c r="W194" s="3">
        <v>14</v>
      </c>
      <c r="X194" s="3" t="s">
        <v>147</v>
      </c>
      <c r="Y194" s="3">
        <v>0</v>
      </c>
      <c r="Z194" s="3">
        <v>14</v>
      </c>
      <c r="AA194" s="3">
        <v>0</v>
      </c>
      <c r="AB194" s="3">
        <v>1</v>
      </c>
      <c r="AC194" s="3">
        <v>26</v>
      </c>
      <c r="AD194" s="3">
        <v>12</v>
      </c>
      <c r="AE194" s="3">
        <v>14</v>
      </c>
      <c r="AF194" s="3" t="s">
        <v>0</v>
      </c>
      <c r="AG194" s="3" t="s">
        <v>49</v>
      </c>
    </row>
    <row r="195" spans="1:33" ht="140.25" x14ac:dyDescent="0.2">
      <c r="A195" s="5" t="str">
        <f>HYPERLINK("http://www.patentics.cn/invokexml.do?sf=ShowPatent&amp;spn=US9282472&amp;sv=12573b5a134f751a53fd2109d243d1ed","US9282472")</f>
        <v>US9282472</v>
      </c>
      <c r="B195" s="3" t="s">
        <v>970</v>
      </c>
      <c r="C195" s="3" t="s">
        <v>971</v>
      </c>
      <c r="D195" s="3" t="s">
        <v>52</v>
      </c>
      <c r="E195" s="3" t="s">
        <v>52</v>
      </c>
      <c r="F195" s="3" t="s">
        <v>930</v>
      </c>
      <c r="G195" s="3" t="s">
        <v>78</v>
      </c>
      <c r="H195" s="3" t="s">
        <v>931</v>
      </c>
      <c r="I195" s="3" t="s">
        <v>972</v>
      </c>
      <c r="J195" s="3" t="s">
        <v>683</v>
      </c>
      <c r="K195" s="3" t="s">
        <v>82</v>
      </c>
      <c r="L195" s="3" t="s">
        <v>226</v>
      </c>
      <c r="M195" s="3" t="s">
        <v>82</v>
      </c>
      <c r="N195" s="3" t="s">
        <v>958</v>
      </c>
      <c r="O195" s="3">
        <v>0</v>
      </c>
      <c r="P195" s="3">
        <v>10</v>
      </c>
      <c r="Q195" s="3" t="s">
        <v>60</v>
      </c>
      <c r="R195" s="3" t="s">
        <v>61</v>
      </c>
      <c r="S195" s="3">
        <v>286</v>
      </c>
      <c r="T195" s="3">
        <v>62</v>
      </c>
      <c r="U195" s="3">
        <v>224</v>
      </c>
      <c r="V195" s="3">
        <v>65</v>
      </c>
      <c r="W195" s="3">
        <v>6</v>
      </c>
      <c r="X195" s="3" t="s">
        <v>147</v>
      </c>
      <c r="Y195" s="3">
        <v>0</v>
      </c>
      <c r="Z195" s="3">
        <v>6</v>
      </c>
      <c r="AA195" s="3">
        <v>0</v>
      </c>
      <c r="AB195" s="3">
        <v>1</v>
      </c>
      <c r="AC195" s="3">
        <v>22</v>
      </c>
      <c r="AD195" s="3">
        <v>11</v>
      </c>
      <c r="AE195" s="3">
        <v>14</v>
      </c>
      <c r="AF195" s="3" t="s">
        <v>0</v>
      </c>
      <c r="AG195" s="3" t="s">
        <v>49</v>
      </c>
    </row>
    <row r="196" spans="1:33" ht="255" x14ac:dyDescent="0.2">
      <c r="A196" s="5" t="str">
        <f>HYPERLINK("http://www.patentics.cn/invokexml.do?sf=ShowPatent&amp;spn=US9392608&amp;sv=08c237f9c4d3167556ddb89b7357ba3e","US9392608")</f>
        <v>US9392608</v>
      </c>
      <c r="B196" s="3" t="s">
        <v>973</v>
      </c>
      <c r="C196" s="3" t="s">
        <v>974</v>
      </c>
      <c r="D196" s="3" t="s">
        <v>52</v>
      </c>
      <c r="E196" s="3" t="s">
        <v>52</v>
      </c>
      <c r="F196" s="3" t="s">
        <v>975</v>
      </c>
      <c r="G196" s="3" t="s">
        <v>956</v>
      </c>
      <c r="H196" s="3" t="s">
        <v>931</v>
      </c>
      <c r="I196" s="3" t="s">
        <v>932</v>
      </c>
      <c r="J196" s="3" t="s">
        <v>976</v>
      </c>
      <c r="K196" s="3" t="s">
        <v>82</v>
      </c>
      <c r="L196" s="3" t="s">
        <v>226</v>
      </c>
      <c r="M196" s="3" t="s">
        <v>82</v>
      </c>
      <c r="N196" s="3" t="s">
        <v>977</v>
      </c>
      <c r="O196" s="3">
        <v>0</v>
      </c>
      <c r="P196" s="3">
        <v>15</v>
      </c>
      <c r="Q196" s="3" t="s">
        <v>60</v>
      </c>
      <c r="R196" s="3" t="s">
        <v>61</v>
      </c>
      <c r="S196" s="3">
        <v>285</v>
      </c>
      <c r="T196" s="3">
        <v>55</v>
      </c>
      <c r="U196" s="3">
        <v>230</v>
      </c>
      <c r="V196" s="3">
        <v>66</v>
      </c>
      <c r="W196" s="3">
        <v>0</v>
      </c>
      <c r="X196" s="3" t="s">
        <v>147</v>
      </c>
      <c r="Y196" s="3">
        <v>0</v>
      </c>
      <c r="Z196" s="3">
        <v>0</v>
      </c>
      <c r="AA196" s="3">
        <v>0</v>
      </c>
      <c r="AB196" s="3">
        <v>0</v>
      </c>
      <c r="AC196" s="3">
        <v>16</v>
      </c>
      <c r="AD196" s="3">
        <v>10</v>
      </c>
      <c r="AE196" s="3">
        <v>14</v>
      </c>
      <c r="AF196" s="3" t="s">
        <v>0</v>
      </c>
      <c r="AG196" s="3" t="s">
        <v>49</v>
      </c>
    </row>
    <row r="197" spans="1:33" ht="63.75" x14ac:dyDescent="0.2">
      <c r="A197" s="5" t="str">
        <f>HYPERLINK("http://www.patentics.cn/invokexml.do?sf=ShowPatent&amp;spn=WO2008141338&amp;sv=bb41260e3a18853b17ae821347252a43","WO2008141338")</f>
        <v>WO2008141338</v>
      </c>
      <c r="B197" s="3" t="s">
        <v>1118</v>
      </c>
      <c r="C197" s="3" t="s">
        <v>1119</v>
      </c>
      <c r="D197" s="3" t="s">
        <v>1120</v>
      </c>
      <c r="E197" s="3" t="s">
        <v>1121</v>
      </c>
      <c r="F197" s="3" t="s">
        <v>1122</v>
      </c>
      <c r="G197" s="3" t="s">
        <v>1123</v>
      </c>
      <c r="H197" s="3" t="s">
        <v>874</v>
      </c>
      <c r="I197" s="3" t="s">
        <v>1124</v>
      </c>
      <c r="J197" s="3" t="s">
        <v>1125</v>
      </c>
      <c r="K197" s="3" t="s">
        <v>82</v>
      </c>
      <c r="L197" s="3" t="s">
        <v>911</v>
      </c>
      <c r="M197" s="3" t="s">
        <v>0</v>
      </c>
      <c r="N197" s="3" t="s">
        <v>0</v>
      </c>
      <c r="O197" s="3">
        <v>29</v>
      </c>
      <c r="P197" s="3">
        <v>6</v>
      </c>
      <c r="Q197" s="3" t="s">
        <v>352</v>
      </c>
      <c r="R197" s="3" t="s">
        <v>61</v>
      </c>
      <c r="S197" s="3">
        <v>2</v>
      </c>
      <c r="T197" s="3">
        <v>0</v>
      </c>
      <c r="U197" s="3">
        <v>2</v>
      </c>
      <c r="V197" s="3">
        <v>2</v>
      </c>
      <c r="W197" s="3">
        <v>4</v>
      </c>
      <c r="X197" s="3" t="s">
        <v>1126</v>
      </c>
      <c r="Y197" s="3">
        <v>1</v>
      </c>
      <c r="Z197" s="3">
        <v>3</v>
      </c>
      <c r="AA197" s="3">
        <v>4</v>
      </c>
      <c r="AB197" s="3">
        <v>4</v>
      </c>
      <c r="AC197" s="3">
        <v>8</v>
      </c>
      <c r="AD197" s="3">
        <v>6</v>
      </c>
      <c r="AE197" s="3">
        <v>14</v>
      </c>
      <c r="AF197" s="3" t="s">
        <v>0</v>
      </c>
      <c r="AG197" s="3" t="s">
        <v>0</v>
      </c>
    </row>
    <row r="198" spans="1:33" ht="63.75" x14ac:dyDescent="0.2">
      <c r="A198" s="5" t="str">
        <f>HYPERLINK("http://www.patentics.cn/invokexml.do?sf=ShowPatent&amp;spn=WO2012048229&amp;sv=73f2e6878211560424c0d563d3b419b9","WO2012048229")</f>
        <v>WO2012048229</v>
      </c>
      <c r="B198" s="3" t="s">
        <v>1127</v>
      </c>
      <c r="C198" s="3" t="s">
        <v>907</v>
      </c>
      <c r="D198" s="3" t="s">
        <v>1128</v>
      </c>
      <c r="E198" s="3" t="s">
        <v>1129</v>
      </c>
      <c r="F198" s="3" t="s">
        <v>1130</v>
      </c>
      <c r="G198" s="3" t="s">
        <v>982</v>
      </c>
      <c r="H198" s="3" t="s">
        <v>909</v>
      </c>
      <c r="I198" s="3" t="s">
        <v>1131</v>
      </c>
      <c r="J198" s="3" t="s">
        <v>1132</v>
      </c>
      <c r="K198" s="3" t="s">
        <v>82</v>
      </c>
      <c r="L198" s="3" t="s">
        <v>1133</v>
      </c>
      <c r="M198" s="3" t="s">
        <v>0</v>
      </c>
      <c r="N198" s="3" t="s">
        <v>0</v>
      </c>
      <c r="O198" s="3">
        <v>35</v>
      </c>
      <c r="P198" s="3">
        <v>8</v>
      </c>
      <c r="Q198" s="3" t="s">
        <v>352</v>
      </c>
      <c r="R198" s="3" t="s">
        <v>61</v>
      </c>
      <c r="S198" s="3">
        <v>5</v>
      </c>
      <c r="T198" s="3">
        <v>1</v>
      </c>
      <c r="U198" s="3">
        <v>4</v>
      </c>
      <c r="V198" s="3">
        <v>4</v>
      </c>
      <c r="W198" s="3">
        <v>0</v>
      </c>
      <c r="X198" s="3" t="s">
        <v>147</v>
      </c>
      <c r="Y198" s="3">
        <v>0</v>
      </c>
      <c r="Z198" s="3">
        <v>0</v>
      </c>
      <c r="AA198" s="3">
        <v>0</v>
      </c>
      <c r="AB198" s="3">
        <v>0</v>
      </c>
      <c r="AC198" s="3">
        <v>7</v>
      </c>
      <c r="AD198" s="3">
        <v>6</v>
      </c>
      <c r="AE198" s="3">
        <v>14</v>
      </c>
      <c r="AF198" s="3" t="s">
        <v>0</v>
      </c>
      <c r="AG198" s="3" t="s">
        <v>0</v>
      </c>
    </row>
    <row r="199" spans="1:33" ht="63.75" x14ac:dyDescent="0.2">
      <c r="A199" s="4" t="str">
        <f>HYPERLINK("http://www.patentics.cn/invokexml.do?sf=ShowPatent&amp;spn=US20120033627&amp;sv=47b96dcf5daad23cc287b4e664b1391a","US20120033627")</f>
        <v>US20120033627</v>
      </c>
      <c r="B199" s="2" t="s">
        <v>1134</v>
      </c>
      <c r="C199" s="2" t="s">
        <v>1135</v>
      </c>
      <c r="D199" s="2" t="s">
        <v>346</v>
      </c>
      <c r="E199" s="2" t="s">
        <v>346</v>
      </c>
      <c r="F199" s="2" t="s">
        <v>1136</v>
      </c>
      <c r="G199" s="2" t="s">
        <v>1137</v>
      </c>
      <c r="H199" s="2" t="s">
        <v>1138</v>
      </c>
      <c r="I199" s="2" t="s">
        <v>1139</v>
      </c>
      <c r="J199" s="2" t="s">
        <v>1140</v>
      </c>
      <c r="K199" s="2" t="s">
        <v>82</v>
      </c>
      <c r="L199" s="2" t="s">
        <v>244</v>
      </c>
      <c r="M199" s="2" t="s">
        <v>0</v>
      </c>
      <c r="N199" s="2" t="s">
        <v>0</v>
      </c>
      <c r="O199" s="2">
        <v>15</v>
      </c>
      <c r="P199" s="2">
        <v>25</v>
      </c>
      <c r="Q199" s="2" t="s">
        <v>352</v>
      </c>
      <c r="R199" s="2" t="s">
        <v>47</v>
      </c>
      <c r="S199" s="2">
        <v>0</v>
      </c>
      <c r="T199" s="2">
        <v>0</v>
      </c>
      <c r="U199" s="2">
        <v>0</v>
      </c>
      <c r="V199" s="2">
        <v>0</v>
      </c>
      <c r="W199" s="2">
        <v>27</v>
      </c>
      <c r="X199" s="2" t="s">
        <v>1141</v>
      </c>
      <c r="Y199" s="2">
        <v>1</v>
      </c>
      <c r="Z199" s="2">
        <v>26</v>
      </c>
      <c r="AA199" s="2">
        <v>10</v>
      </c>
      <c r="AB199" s="2">
        <v>2</v>
      </c>
      <c r="AC199" s="2">
        <v>9</v>
      </c>
      <c r="AD199" s="2">
        <v>6</v>
      </c>
      <c r="AE199" s="2" t="s">
        <v>0</v>
      </c>
      <c r="AF199" s="2">
        <v>14</v>
      </c>
      <c r="AG199" s="2" t="s">
        <v>49</v>
      </c>
    </row>
    <row r="200" spans="1:33" ht="76.5" x14ac:dyDescent="0.2">
      <c r="A200" s="5" t="str">
        <f>HYPERLINK("http://www.patentics.cn/invokexml.do?sf=ShowPatent&amp;spn=US8886190&amp;sv=accdd99c2216fc98d326216297465038","US8886190")</f>
        <v>US8886190</v>
      </c>
      <c r="B200" s="3" t="s">
        <v>906</v>
      </c>
      <c r="C200" s="3" t="s">
        <v>907</v>
      </c>
      <c r="D200" s="3" t="s">
        <v>52</v>
      </c>
      <c r="E200" s="3" t="s">
        <v>52</v>
      </c>
      <c r="F200" s="3" t="s">
        <v>908</v>
      </c>
      <c r="G200" s="3" t="s">
        <v>454</v>
      </c>
      <c r="H200" s="3" t="s">
        <v>909</v>
      </c>
      <c r="I200" s="3" t="s">
        <v>910</v>
      </c>
      <c r="J200" s="3" t="s">
        <v>196</v>
      </c>
      <c r="K200" s="3" t="s">
        <v>82</v>
      </c>
      <c r="L200" s="3" t="s">
        <v>911</v>
      </c>
      <c r="M200" s="3" t="s">
        <v>82</v>
      </c>
      <c r="N200" s="3" t="s">
        <v>799</v>
      </c>
      <c r="O200" s="3">
        <v>0</v>
      </c>
      <c r="P200" s="3">
        <v>10</v>
      </c>
      <c r="Q200" s="3" t="s">
        <v>60</v>
      </c>
      <c r="R200" s="3" t="s">
        <v>61</v>
      </c>
      <c r="S200" s="3">
        <v>235</v>
      </c>
      <c r="T200" s="3">
        <v>51</v>
      </c>
      <c r="U200" s="3">
        <v>184</v>
      </c>
      <c r="V200" s="3">
        <v>63</v>
      </c>
      <c r="W200" s="3">
        <v>4</v>
      </c>
      <c r="X200" s="3" t="s">
        <v>912</v>
      </c>
      <c r="Y200" s="3">
        <v>3</v>
      </c>
      <c r="Z200" s="3">
        <v>1</v>
      </c>
      <c r="AA200" s="3">
        <v>2</v>
      </c>
      <c r="AB200" s="3">
        <v>1</v>
      </c>
      <c r="AC200" s="3">
        <v>7</v>
      </c>
      <c r="AD200" s="3">
        <v>6</v>
      </c>
      <c r="AE200" s="3">
        <v>14</v>
      </c>
      <c r="AF200" s="3" t="s">
        <v>0</v>
      </c>
      <c r="AG200" s="3" t="s">
        <v>49</v>
      </c>
    </row>
    <row r="201" spans="1:33" ht="89.25" x14ac:dyDescent="0.2">
      <c r="A201" s="5" t="str">
        <f>HYPERLINK("http://www.patentics.cn/invokexml.do?sf=ShowPatent&amp;spn=US8942192&amp;sv=87109fc2ff2f4e42f1db86db68428e2e","US8942192")</f>
        <v>US8942192</v>
      </c>
      <c r="B201" s="3" t="s">
        <v>913</v>
      </c>
      <c r="C201" s="3" t="s">
        <v>914</v>
      </c>
      <c r="D201" s="3" t="s">
        <v>52</v>
      </c>
      <c r="E201" s="3" t="s">
        <v>52</v>
      </c>
      <c r="F201" s="3" t="s">
        <v>915</v>
      </c>
      <c r="G201" s="3" t="s">
        <v>454</v>
      </c>
      <c r="H201" s="3" t="s">
        <v>916</v>
      </c>
      <c r="I201" s="3" t="s">
        <v>917</v>
      </c>
      <c r="J201" s="3" t="s">
        <v>918</v>
      </c>
      <c r="K201" s="3" t="s">
        <v>82</v>
      </c>
      <c r="L201" s="3" t="s">
        <v>244</v>
      </c>
      <c r="M201" s="3" t="s">
        <v>82</v>
      </c>
      <c r="N201" s="3" t="s">
        <v>919</v>
      </c>
      <c r="O201" s="3">
        <v>0</v>
      </c>
      <c r="P201" s="3">
        <v>18</v>
      </c>
      <c r="Q201" s="3" t="s">
        <v>60</v>
      </c>
      <c r="R201" s="3" t="s">
        <v>61</v>
      </c>
      <c r="S201" s="3">
        <v>248</v>
      </c>
      <c r="T201" s="3">
        <v>52</v>
      </c>
      <c r="U201" s="3">
        <v>196</v>
      </c>
      <c r="V201" s="3">
        <v>64</v>
      </c>
      <c r="W201" s="3">
        <v>17</v>
      </c>
      <c r="X201" s="3" t="s">
        <v>920</v>
      </c>
      <c r="Y201" s="3">
        <v>1</v>
      </c>
      <c r="Z201" s="3">
        <v>16</v>
      </c>
      <c r="AA201" s="3">
        <v>3</v>
      </c>
      <c r="AB201" s="3">
        <v>2</v>
      </c>
      <c r="AC201" s="3">
        <v>26</v>
      </c>
      <c r="AD201" s="3">
        <v>12</v>
      </c>
      <c r="AE201" s="3">
        <v>14</v>
      </c>
      <c r="AF201" s="3" t="s">
        <v>0</v>
      </c>
      <c r="AG201" s="3" t="s">
        <v>49</v>
      </c>
    </row>
    <row r="202" spans="1:33" ht="51" x14ac:dyDescent="0.2">
      <c r="A202" s="5" t="str">
        <f>HYPERLINK("http://www.patentics.cn/invokexml.do?sf=ShowPatent&amp;spn=US9042277&amp;sv=4043f0650fa1af04f9462052b4900f23","US9042277")</f>
        <v>US9042277</v>
      </c>
      <c r="B202" s="3" t="s">
        <v>1142</v>
      </c>
      <c r="C202" s="3" t="s">
        <v>1143</v>
      </c>
      <c r="D202" s="3" t="s">
        <v>52</v>
      </c>
      <c r="E202" s="3" t="s">
        <v>52</v>
      </c>
      <c r="F202" s="3" t="s">
        <v>1144</v>
      </c>
      <c r="G202" s="3" t="s">
        <v>1091</v>
      </c>
      <c r="H202" s="3" t="s">
        <v>1145</v>
      </c>
      <c r="I202" s="3" t="s">
        <v>1146</v>
      </c>
      <c r="J202" s="3" t="s">
        <v>1147</v>
      </c>
      <c r="K202" s="3" t="s">
        <v>70</v>
      </c>
      <c r="L202" s="3" t="s">
        <v>467</v>
      </c>
      <c r="M202" s="3" t="s">
        <v>0</v>
      </c>
      <c r="N202" s="3" t="s">
        <v>0</v>
      </c>
      <c r="O202" s="3">
        <v>0</v>
      </c>
      <c r="P202" s="3">
        <v>16</v>
      </c>
      <c r="Q202" s="3" t="s">
        <v>60</v>
      </c>
      <c r="R202" s="3" t="s">
        <v>61</v>
      </c>
      <c r="S202" s="3">
        <v>17</v>
      </c>
      <c r="T202" s="3">
        <v>1</v>
      </c>
      <c r="U202" s="3">
        <v>16</v>
      </c>
      <c r="V202" s="3">
        <v>9</v>
      </c>
      <c r="W202" s="3">
        <v>8</v>
      </c>
      <c r="X202" s="3" t="s">
        <v>1148</v>
      </c>
      <c r="Y202" s="3">
        <v>0</v>
      </c>
      <c r="Z202" s="3">
        <v>8</v>
      </c>
      <c r="AA202" s="3">
        <v>2</v>
      </c>
      <c r="AB202" s="3">
        <v>2</v>
      </c>
      <c r="AC202" s="3">
        <v>7</v>
      </c>
      <c r="AD202" s="3">
        <v>6</v>
      </c>
      <c r="AE202" s="3">
        <v>14</v>
      </c>
      <c r="AF202" s="3" t="s">
        <v>0</v>
      </c>
      <c r="AG202" s="3" t="s">
        <v>49</v>
      </c>
    </row>
    <row r="203" spans="1:33" ht="127.5" x14ac:dyDescent="0.2">
      <c r="A203" s="5" t="str">
        <f>HYPERLINK("http://www.patentics.cn/invokexml.do?sf=ShowPatent&amp;spn=US9055576&amp;sv=99346b92200ed106fb10ca24b11f8bde","US9055576")</f>
        <v>US9055576</v>
      </c>
      <c r="B203" s="3" t="s">
        <v>1149</v>
      </c>
      <c r="C203" s="3" t="s">
        <v>1150</v>
      </c>
      <c r="D203" s="3" t="s">
        <v>52</v>
      </c>
      <c r="E203" s="3" t="s">
        <v>52</v>
      </c>
      <c r="F203" s="3" t="s">
        <v>1151</v>
      </c>
      <c r="G203" s="3" t="s">
        <v>1091</v>
      </c>
      <c r="H203" s="3" t="s">
        <v>1152</v>
      </c>
      <c r="I203" s="3" t="s">
        <v>1153</v>
      </c>
      <c r="J203" s="3" t="s">
        <v>1154</v>
      </c>
      <c r="K203" s="3" t="s">
        <v>82</v>
      </c>
      <c r="L203" s="3" t="s">
        <v>83</v>
      </c>
      <c r="M203" s="3" t="s">
        <v>0</v>
      </c>
      <c r="N203" s="3" t="s">
        <v>0</v>
      </c>
      <c r="O203" s="3">
        <v>0</v>
      </c>
      <c r="P203" s="3">
        <v>13</v>
      </c>
      <c r="Q203" s="3" t="s">
        <v>60</v>
      </c>
      <c r="R203" s="3" t="s">
        <v>61</v>
      </c>
      <c r="S203" s="3">
        <v>19</v>
      </c>
      <c r="T203" s="3">
        <v>0</v>
      </c>
      <c r="U203" s="3">
        <v>19</v>
      </c>
      <c r="V203" s="3">
        <v>10</v>
      </c>
      <c r="W203" s="3">
        <v>7</v>
      </c>
      <c r="X203" s="3" t="s">
        <v>403</v>
      </c>
      <c r="Y203" s="3">
        <v>0</v>
      </c>
      <c r="Z203" s="3">
        <v>7</v>
      </c>
      <c r="AA203" s="3">
        <v>1</v>
      </c>
      <c r="AB203" s="3">
        <v>2</v>
      </c>
      <c r="AC203" s="3">
        <v>10</v>
      </c>
      <c r="AD203" s="3">
        <v>7</v>
      </c>
      <c r="AE203" s="3">
        <v>14</v>
      </c>
      <c r="AF203" s="3" t="s">
        <v>0</v>
      </c>
      <c r="AG203" s="3" t="s">
        <v>49</v>
      </c>
    </row>
    <row r="204" spans="1:33" ht="76.5" x14ac:dyDescent="0.2">
      <c r="A204" s="5" t="str">
        <f>HYPERLINK("http://www.patentics.cn/invokexml.do?sf=ShowPatent&amp;spn=US9106378&amp;sv=109dca1a95e0286c0676843dc271f0e5","US9106378")</f>
        <v>US9106378</v>
      </c>
      <c r="B204" s="3" t="s">
        <v>921</v>
      </c>
      <c r="C204" s="3" t="s">
        <v>922</v>
      </c>
      <c r="D204" s="3" t="s">
        <v>52</v>
      </c>
      <c r="E204" s="3" t="s">
        <v>52</v>
      </c>
      <c r="F204" s="3" t="s">
        <v>923</v>
      </c>
      <c r="G204" s="3" t="s">
        <v>924</v>
      </c>
      <c r="H204" s="3" t="s">
        <v>925</v>
      </c>
      <c r="I204" s="3" t="s">
        <v>926</v>
      </c>
      <c r="J204" s="3" t="s">
        <v>927</v>
      </c>
      <c r="K204" s="3" t="s">
        <v>82</v>
      </c>
      <c r="L204" s="3" t="s">
        <v>226</v>
      </c>
      <c r="M204" s="3" t="s">
        <v>0</v>
      </c>
      <c r="N204" s="3" t="s">
        <v>0</v>
      </c>
      <c r="O204" s="3">
        <v>0</v>
      </c>
      <c r="P204" s="3">
        <v>17</v>
      </c>
      <c r="Q204" s="3" t="s">
        <v>60</v>
      </c>
      <c r="R204" s="3" t="s">
        <v>61</v>
      </c>
      <c r="S204" s="3">
        <v>262</v>
      </c>
      <c r="T204" s="3">
        <v>53</v>
      </c>
      <c r="U204" s="3">
        <v>209</v>
      </c>
      <c r="V204" s="3">
        <v>65</v>
      </c>
      <c r="W204" s="3">
        <v>0</v>
      </c>
      <c r="X204" s="3" t="s">
        <v>147</v>
      </c>
      <c r="Y204" s="3">
        <v>0</v>
      </c>
      <c r="Z204" s="3">
        <v>0</v>
      </c>
      <c r="AA204" s="3">
        <v>0</v>
      </c>
      <c r="AB204" s="3">
        <v>0</v>
      </c>
      <c r="AC204" s="3">
        <v>13</v>
      </c>
      <c r="AD204" s="3">
        <v>7</v>
      </c>
      <c r="AE204" s="3">
        <v>14</v>
      </c>
      <c r="AF204" s="3" t="s">
        <v>0</v>
      </c>
      <c r="AG204" s="3" t="s">
        <v>49</v>
      </c>
    </row>
    <row r="205" spans="1:33" ht="140.25" x14ac:dyDescent="0.2">
      <c r="A205" s="5" t="str">
        <f>HYPERLINK("http://www.patentics.cn/invokexml.do?sf=ShowPatent&amp;spn=US9125072&amp;sv=0a35516ca99592a4263a31d9700485cf","US9125072")</f>
        <v>US9125072</v>
      </c>
      <c r="B205" s="3" t="s">
        <v>928</v>
      </c>
      <c r="C205" s="3" t="s">
        <v>929</v>
      </c>
      <c r="D205" s="3" t="s">
        <v>52</v>
      </c>
      <c r="E205" s="3" t="s">
        <v>52</v>
      </c>
      <c r="F205" s="3" t="s">
        <v>930</v>
      </c>
      <c r="G205" s="3" t="s">
        <v>78</v>
      </c>
      <c r="H205" s="3" t="s">
        <v>931</v>
      </c>
      <c r="I205" s="3" t="s">
        <v>932</v>
      </c>
      <c r="J205" s="3" t="s">
        <v>816</v>
      </c>
      <c r="K205" s="3" t="s">
        <v>82</v>
      </c>
      <c r="L205" s="3" t="s">
        <v>226</v>
      </c>
      <c r="M205" s="3" t="s">
        <v>0</v>
      </c>
      <c r="N205" s="3" t="s">
        <v>0</v>
      </c>
      <c r="O205" s="3">
        <v>0</v>
      </c>
      <c r="P205" s="3">
        <v>11</v>
      </c>
      <c r="Q205" s="3" t="s">
        <v>60</v>
      </c>
      <c r="R205" s="3" t="s">
        <v>61</v>
      </c>
      <c r="S205" s="3">
        <v>274</v>
      </c>
      <c r="T205" s="3">
        <v>55</v>
      </c>
      <c r="U205" s="3">
        <v>219</v>
      </c>
      <c r="V205" s="3">
        <v>64</v>
      </c>
      <c r="W205" s="3">
        <v>8</v>
      </c>
      <c r="X205" s="3" t="s">
        <v>933</v>
      </c>
      <c r="Y205" s="3">
        <v>1</v>
      </c>
      <c r="Z205" s="3">
        <v>7</v>
      </c>
      <c r="AA205" s="3">
        <v>2</v>
      </c>
      <c r="AB205" s="3">
        <v>2</v>
      </c>
      <c r="AC205" s="3">
        <v>22</v>
      </c>
      <c r="AD205" s="3">
        <v>11</v>
      </c>
      <c r="AE205" s="3">
        <v>14</v>
      </c>
      <c r="AF205" s="3" t="s">
        <v>0</v>
      </c>
      <c r="AG205" s="3" t="s">
        <v>49</v>
      </c>
    </row>
    <row r="206" spans="1:33" ht="102" x14ac:dyDescent="0.2">
      <c r="A206" s="5" t="str">
        <f>HYPERLINK("http://www.patentics.cn/invokexml.do?sf=ShowPatent&amp;spn=US9144037&amp;sv=1b44d15f404b6823ede5c41f2168ed63","US9144037")</f>
        <v>US9144037</v>
      </c>
      <c r="B206" s="3" t="s">
        <v>934</v>
      </c>
      <c r="C206" s="3" t="s">
        <v>935</v>
      </c>
      <c r="D206" s="3" t="s">
        <v>52</v>
      </c>
      <c r="E206" s="3" t="s">
        <v>52</v>
      </c>
      <c r="F206" s="3" t="s">
        <v>936</v>
      </c>
      <c r="G206" s="3" t="s">
        <v>937</v>
      </c>
      <c r="H206" s="3" t="s">
        <v>938</v>
      </c>
      <c r="I206" s="3" t="s">
        <v>939</v>
      </c>
      <c r="J206" s="3" t="s">
        <v>240</v>
      </c>
      <c r="K206" s="3" t="s">
        <v>84</v>
      </c>
      <c r="L206" s="3" t="s">
        <v>163</v>
      </c>
      <c r="M206" s="3" t="s">
        <v>82</v>
      </c>
      <c r="N206" s="3" t="s">
        <v>940</v>
      </c>
      <c r="O206" s="3">
        <v>0</v>
      </c>
      <c r="P206" s="3">
        <v>15</v>
      </c>
      <c r="Q206" s="3" t="s">
        <v>60</v>
      </c>
      <c r="R206" s="3" t="s">
        <v>61</v>
      </c>
      <c r="S206" s="3">
        <v>276</v>
      </c>
      <c r="T206" s="3">
        <v>53</v>
      </c>
      <c r="U206" s="3">
        <v>223</v>
      </c>
      <c r="V206" s="3">
        <v>65</v>
      </c>
      <c r="W206" s="3">
        <v>0</v>
      </c>
      <c r="X206" s="3" t="s">
        <v>147</v>
      </c>
      <c r="Y206" s="3">
        <v>0</v>
      </c>
      <c r="Z206" s="3">
        <v>0</v>
      </c>
      <c r="AA206" s="3">
        <v>0</v>
      </c>
      <c r="AB206" s="3">
        <v>0</v>
      </c>
      <c r="AC206" s="3">
        <v>15</v>
      </c>
      <c r="AD206" s="3">
        <v>7</v>
      </c>
      <c r="AE206" s="3">
        <v>14</v>
      </c>
      <c r="AF206" s="3" t="s">
        <v>0</v>
      </c>
      <c r="AG206" s="3" t="s">
        <v>49</v>
      </c>
    </row>
    <row r="207" spans="1:33" ht="229.5" x14ac:dyDescent="0.2">
      <c r="A207" s="5" t="str">
        <f>HYPERLINK("http://www.patentics.cn/invokexml.do?sf=ShowPatent&amp;spn=US9226288&amp;sv=50d74d97714cc499dcdeeea75ddcc1b9","US9226288")</f>
        <v>US9226288</v>
      </c>
      <c r="B207" s="3" t="s">
        <v>941</v>
      </c>
      <c r="C207" s="3" t="s">
        <v>942</v>
      </c>
      <c r="D207" s="3" t="s">
        <v>52</v>
      </c>
      <c r="E207" s="3" t="s">
        <v>52</v>
      </c>
      <c r="F207" s="3" t="s">
        <v>943</v>
      </c>
      <c r="G207" s="3" t="s">
        <v>944</v>
      </c>
      <c r="H207" s="3" t="s">
        <v>931</v>
      </c>
      <c r="I207" s="3" t="s">
        <v>932</v>
      </c>
      <c r="J207" s="3" t="s">
        <v>294</v>
      </c>
      <c r="K207" s="3" t="s">
        <v>82</v>
      </c>
      <c r="L207" s="3" t="s">
        <v>83</v>
      </c>
      <c r="M207" s="3" t="s">
        <v>82</v>
      </c>
      <c r="N207" s="3" t="s">
        <v>945</v>
      </c>
      <c r="O207" s="3">
        <v>0</v>
      </c>
      <c r="P207" s="3">
        <v>15</v>
      </c>
      <c r="Q207" s="3" t="s">
        <v>60</v>
      </c>
      <c r="R207" s="3" t="s">
        <v>61</v>
      </c>
      <c r="S207" s="3">
        <v>278</v>
      </c>
      <c r="T207" s="3">
        <v>55</v>
      </c>
      <c r="U207" s="3">
        <v>223</v>
      </c>
      <c r="V207" s="3">
        <v>65</v>
      </c>
      <c r="W207" s="3">
        <v>0</v>
      </c>
      <c r="X207" s="3" t="s">
        <v>147</v>
      </c>
      <c r="Y207" s="3">
        <v>0</v>
      </c>
      <c r="Z207" s="3">
        <v>0</v>
      </c>
      <c r="AA207" s="3">
        <v>0</v>
      </c>
      <c r="AB207" s="3">
        <v>0</v>
      </c>
      <c r="AC207" s="3">
        <v>8</v>
      </c>
      <c r="AD207" s="3">
        <v>6</v>
      </c>
      <c r="AE207" s="3">
        <v>14</v>
      </c>
      <c r="AF207" s="3" t="s">
        <v>0</v>
      </c>
      <c r="AG207" s="3" t="s">
        <v>49</v>
      </c>
    </row>
    <row r="208" spans="1:33" ht="76.5" x14ac:dyDescent="0.2">
      <c r="A208" s="5" t="str">
        <f>HYPERLINK("http://www.patentics.cn/invokexml.do?sf=ShowPatent&amp;spn=US9271167&amp;sv=e401f5289229974ed8a94cd08f8a9054","US9271167")</f>
        <v>US9271167</v>
      </c>
      <c r="B208" s="3" t="s">
        <v>953</v>
      </c>
      <c r="C208" s="3" t="s">
        <v>954</v>
      </c>
      <c r="D208" s="3" t="s">
        <v>52</v>
      </c>
      <c r="E208" s="3" t="s">
        <v>52</v>
      </c>
      <c r="F208" s="3" t="s">
        <v>955</v>
      </c>
      <c r="G208" s="3" t="s">
        <v>956</v>
      </c>
      <c r="H208" s="3" t="s">
        <v>931</v>
      </c>
      <c r="I208" s="3" t="s">
        <v>957</v>
      </c>
      <c r="J208" s="3" t="s">
        <v>669</v>
      </c>
      <c r="K208" s="3" t="s">
        <v>82</v>
      </c>
      <c r="L208" s="3" t="s">
        <v>806</v>
      </c>
      <c r="M208" s="3" t="s">
        <v>82</v>
      </c>
      <c r="N208" s="3" t="s">
        <v>958</v>
      </c>
      <c r="O208" s="3">
        <v>0</v>
      </c>
      <c r="P208" s="3">
        <v>16</v>
      </c>
      <c r="Q208" s="3" t="s">
        <v>60</v>
      </c>
      <c r="R208" s="3" t="s">
        <v>61</v>
      </c>
      <c r="S208" s="3">
        <v>279</v>
      </c>
      <c r="T208" s="3">
        <v>55</v>
      </c>
      <c r="U208" s="3">
        <v>224</v>
      </c>
      <c r="V208" s="3">
        <v>65</v>
      </c>
      <c r="W208" s="3">
        <v>21</v>
      </c>
      <c r="X208" s="3" t="s">
        <v>108</v>
      </c>
      <c r="Y208" s="3">
        <v>0</v>
      </c>
      <c r="Z208" s="3">
        <v>21</v>
      </c>
      <c r="AA208" s="3">
        <v>1</v>
      </c>
      <c r="AB208" s="3">
        <v>2</v>
      </c>
      <c r="AC208" s="3">
        <v>20</v>
      </c>
      <c r="AD208" s="3">
        <v>13</v>
      </c>
      <c r="AE208" s="3">
        <v>14</v>
      </c>
      <c r="AF208" s="3" t="s">
        <v>0</v>
      </c>
      <c r="AG208" s="3" t="s">
        <v>49</v>
      </c>
    </row>
    <row r="209" spans="1:33" ht="76.5" x14ac:dyDescent="0.2">
      <c r="A209" s="5" t="str">
        <f>HYPERLINK("http://www.patentics.cn/invokexml.do?sf=ShowPatent&amp;spn=US9277566&amp;sv=1e06c5731d657aed16e04b24a7f25f6b","US9277566")</f>
        <v>US9277566</v>
      </c>
      <c r="B209" s="3" t="s">
        <v>959</v>
      </c>
      <c r="C209" s="3" t="s">
        <v>960</v>
      </c>
      <c r="D209" s="3" t="s">
        <v>52</v>
      </c>
      <c r="E209" s="3" t="s">
        <v>52</v>
      </c>
      <c r="F209" s="3" t="s">
        <v>961</v>
      </c>
      <c r="G209" s="3" t="s">
        <v>962</v>
      </c>
      <c r="H209" s="3" t="s">
        <v>963</v>
      </c>
      <c r="I209" s="3" t="s">
        <v>964</v>
      </c>
      <c r="J209" s="3" t="s">
        <v>965</v>
      </c>
      <c r="K209" s="3" t="s">
        <v>82</v>
      </c>
      <c r="L209" s="3" t="s">
        <v>83</v>
      </c>
      <c r="M209" s="3" t="s">
        <v>82</v>
      </c>
      <c r="N209" s="3" t="s">
        <v>966</v>
      </c>
      <c r="O209" s="3">
        <v>0</v>
      </c>
      <c r="P209" s="3">
        <v>10</v>
      </c>
      <c r="Q209" s="3" t="s">
        <v>60</v>
      </c>
      <c r="R209" s="3" t="s">
        <v>61</v>
      </c>
      <c r="S209" s="3">
        <v>279</v>
      </c>
      <c r="T209" s="3">
        <v>56</v>
      </c>
      <c r="U209" s="3">
        <v>223</v>
      </c>
      <c r="V209" s="3">
        <v>65</v>
      </c>
      <c r="W209" s="3">
        <v>0</v>
      </c>
      <c r="X209" s="3" t="s">
        <v>147</v>
      </c>
      <c r="Y209" s="3">
        <v>0</v>
      </c>
      <c r="Z209" s="3">
        <v>0</v>
      </c>
      <c r="AA209" s="3">
        <v>0</v>
      </c>
      <c r="AB209" s="3">
        <v>0</v>
      </c>
      <c r="AC209" s="3">
        <v>11</v>
      </c>
      <c r="AD209" s="3">
        <v>7</v>
      </c>
      <c r="AE209" s="3">
        <v>14</v>
      </c>
      <c r="AF209" s="3" t="s">
        <v>0</v>
      </c>
      <c r="AG209" s="3" t="s">
        <v>49</v>
      </c>
    </row>
    <row r="210" spans="1:33" ht="89.25" x14ac:dyDescent="0.2">
      <c r="A210" s="5" t="str">
        <f>HYPERLINK("http://www.patentics.cn/invokexml.do?sf=ShowPatent&amp;spn=US9281932&amp;sv=588db6af75c155f9b117f0850b28fd3c","US9281932")</f>
        <v>US9281932</v>
      </c>
      <c r="B210" s="3" t="s">
        <v>967</v>
      </c>
      <c r="C210" s="3" t="s">
        <v>914</v>
      </c>
      <c r="D210" s="3" t="s">
        <v>52</v>
      </c>
      <c r="E210" s="3" t="s">
        <v>52</v>
      </c>
      <c r="F210" s="3" t="s">
        <v>915</v>
      </c>
      <c r="G210" s="3" t="s">
        <v>454</v>
      </c>
      <c r="H210" s="3" t="s">
        <v>916</v>
      </c>
      <c r="I210" s="3" t="s">
        <v>968</v>
      </c>
      <c r="J210" s="3" t="s">
        <v>683</v>
      </c>
      <c r="K210" s="3" t="s">
        <v>82</v>
      </c>
      <c r="L210" s="3" t="s">
        <v>244</v>
      </c>
      <c r="M210" s="3" t="s">
        <v>58</v>
      </c>
      <c r="N210" s="3" t="s">
        <v>969</v>
      </c>
      <c r="O210" s="3">
        <v>0</v>
      </c>
      <c r="P210" s="3">
        <v>16</v>
      </c>
      <c r="Q210" s="3" t="s">
        <v>60</v>
      </c>
      <c r="R210" s="3" t="s">
        <v>61</v>
      </c>
      <c r="S210" s="3">
        <v>276</v>
      </c>
      <c r="T210" s="3">
        <v>54</v>
      </c>
      <c r="U210" s="3">
        <v>222</v>
      </c>
      <c r="V210" s="3">
        <v>64</v>
      </c>
      <c r="W210" s="3">
        <v>14</v>
      </c>
      <c r="X210" s="3" t="s">
        <v>147</v>
      </c>
      <c r="Y210" s="3">
        <v>0</v>
      </c>
      <c r="Z210" s="3">
        <v>14</v>
      </c>
      <c r="AA210" s="3">
        <v>0</v>
      </c>
      <c r="AB210" s="3">
        <v>1</v>
      </c>
      <c r="AC210" s="3">
        <v>26</v>
      </c>
      <c r="AD210" s="3">
        <v>12</v>
      </c>
      <c r="AE210" s="3">
        <v>14</v>
      </c>
      <c r="AF210" s="3" t="s">
        <v>0</v>
      </c>
      <c r="AG210" s="3" t="s">
        <v>49</v>
      </c>
    </row>
    <row r="211" spans="1:33" ht="140.25" x14ac:dyDescent="0.2">
      <c r="A211" s="5" t="str">
        <f>HYPERLINK("http://www.patentics.cn/invokexml.do?sf=ShowPatent&amp;spn=US9282472&amp;sv=12573b5a134f751a53fd2109d243d1ed","US9282472")</f>
        <v>US9282472</v>
      </c>
      <c r="B211" s="3" t="s">
        <v>970</v>
      </c>
      <c r="C211" s="3" t="s">
        <v>971</v>
      </c>
      <c r="D211" s="3" t="s">
        <v>52</v>
      </c>
      <c r="E211" s="3" t="s">
        <v>52</v>
      </c>
      <c r="F211" s="3" t="s">
        <v>930</v>
      </c>
      <c r="G211" s="3" t="s">
        <v>78</v>
      </c>
      <c r="H211" s="3" t="s">
        <v>931</v>
      </c>
      <c r="I211" s="3" t="s">
        <v>972</v>
      </c>
      <c r="J211" s="3" t="s">
        <v>683</v>
      </c>
      <c r="K211" s="3" t="s">
        <v>82</v>
      </c>
      <c r="L211" s="3" t="s">
        <v>226</v>
      </c>
      <c r="M211" s="3" t="s">
        <v>82</v>
      </c>
      <c r="N211" s="3" t="s">
        <v>958</v>
      </c>
      <c r="O211" s="3">
        <v>0</v>
      </c>
      <c r="P211" s="3">
        <v>10</v>
      </c>
      <c r="Q211" s="3" t="s">
        <v>60</v>
      </c>
      <c r="R211" s="3" t="s">
        <v>61</v>
      </c>
      <c r="S211" s="3">
        <v>286</v>
      </c>
      <c r="T211" s="3">
        <v>62</v>
      </c>
      <c r="U211" s="3">
        <v>224</v>
      </c>
      <c r="V211" s="3">
        <v>65</v>
      </c>
      <c r="W211" s="3">
        <v>6</v>
      </c>
      <c r="X211" s="3" t="s">
        <v>147</v>
      </c>
      <c r="Y211" s="3">
        <v>0</v>
      </c>
      <c r="Z211" s="3">
        <v>6</v>
      </c>
      <c r="AA211" s="3">
        <v>0</v>
      </c>
      <c r="AB211" s="3">
        <v>1</v>
      </c>
      <c r="AC211" s="3">
        <v>22</v>
      </c>
      <c r="AD211" s="3">
        <v>11</v>
      </c>
      <c r="AE211" s="3">
        <v>14</v>
      </c>
      <c r="AF211" s="3" t="s">
        <v>0</v>
      </c>
      <c r="AG211" s="3" t="s">
        <v>49</v>
      </c>
    </row>
    <row r="212" spans="1:33" ht="255" x14ac:dyDescent="0.2">
      <c r="A212" s="5" t="str">
        <f>HYPERLINK("http://www.patentics.cn/invokexml.do?sf=ShowPatent&amp;spn=US9392608&amp;sv=08c237f9c4d3167556ddb89b7357ba3e","US9392608")</f>
        <v>US9392608</v>
      </c>
      <c r="B212" s="3" t="s">
        <v>973</v>
      </c>
      <c r="C212" s="3" t="s">
        <v>974</v>
      </c>
      <c r="D212" s="3" t="s">
        <v>52</v>
      </c>
      <c r="E212" s="3" t="s">
        <v>52</v>
      </c>
      <c r="F212" s="3" t="s">
        <v>975</v>
      </c>
      <c r="G212" s="3" t="s">
        <v>956</v>
      </c>
      <c r="H212" s="3" t="s">
        <v>931</v>
      </c>
      <c r="I212" s="3" t="s">
        <v>932</v>
      </c>
      <c r="J212" s="3" t="s">
        <v>976</v>
      </c>
      <c r="K212" s="3" t="s">
        <v>82</v>
      </c>
      <c r="L212" s="3" t="s">
        <v>226</v>
      </c>
      <c r="M212" s="3" t="s">
        <v>82</v>
      </c>
      <c r="N212" s="3" t="s">
        <v>977</v>
      </c>
      <c r="O212" s="3">
        <v>0</v>
      </c>
      <c r="P212" s="3">
        <v>15</v>
      </c>
      <c r="Q212" s="3" t="s">
        <v>60</v>
      </c>
      <c r="R212" s="3" t="s">
        <v>61</v>
      </c>
      <c r="S212" s="3">
        <v>285</v>
      </c>
      <c r="T212" s="3">
        <v>55</v>
      </c>
      <c r="U212" s="3">
        <v>230</v>
      </c>
      <c r="V212" s="3">
        <v>66</v>
      </c>
      <c r="W212" s="3">
        <v>0</v>
      </c>
      <c r="X212" s="3" t="s">
        <v>147</v>
      </c>
      <c r="Y212" s="3">
        <v>0</v>
      </c>
      <c r="Z212" s="3">
        <v>0</v>
      </c>
      <c r="AA212" s="3">
        <v>0</v>
      </c>
      <c r="AB212" s="3">
        <v>0</v>
      </c>
      <c r="AC212" s="3">
        <v>16</v>
      </c>
      <c r="AD212" s="3">
        <v>10</v>
      </c>
      <c r="AE212" s="3">
        <v>14</v>
      </c>
      <c r="AF212" s="3" t="s">
        <v>0</v>
      </c>
      <c r="AG212" s="3" t="s">
        <v>49</v>
      </c>
    </row>
    <row r="213" spans="1:33" ht="114.75" x14ac:dyDescent="0.2">
      <c r="A213" s="5" t="str">
        <f>HYPERLINK("http://www.patentics.cn/invokexml.do?sf=ShowPatent&amp;spn=WO2017023422&amp;sv=6d478b78018466cb23c258e03081ce55","WO2017023422")</f>
        <v>WO2017023422</v>
      </c>
      <c r="B213" s="3" t="s">
        <v>1155</v>
      </c>
      <c r="C213" s="3" t="s">
        <v>1156</v>
      </c>
      <c r="D213" s="3" t="s">
        <v>52</v>
      </c>
      <c r="E213" s="3" t="s">
        <v>52</v>
      </c>
      <c r="F213" s="3" t="s">
        <v>1157</v>
      </c>
      <c r="G213" s="3" t="s">
        <v>1158</v>
      </c>
      <c r="H213" s="3" t="s">
        <v>1159</v>
      </c>
      <c r="I213" s="3" t="s">
        <v>1160</v>
      </c>
      <c r="J213" s="3" t="s">
        <v>1161</v>
      </c>
      <c r="K213" s="3" t="s">
        <v>58</v>
      </c>
      <c r="L213" s="3" t="s">
        <v>188</v>
      </c>
      <c r="M213" s="3" t="s">
        <v>0</v>
      </c>
      <c r="N213" s="3" t="s">
        <v>0</v>
      </c>
      <c r="O213" s="3">
        <v>36</v>
      </c>
      <c r="P213" s="3">
        <v>9</v>
      </c>
      <c r="Q213" s="3" t="s">
        <v>352</v>
      </c>
      <c r="R213" s="3" t="s">
        <v>61</v>
      </c>
      <c r="S213" s="3">
        <v>4</v>
      </c>
      <c r="T213" s="3">
        <v>0</v>
      </c>
      <c r="U213" s="3">
        <v>4</v>
      </c>
      <c r="V213" s="3">
        <v>4</v>
      </c>
      <c r="W213" s="3">
        <v>0</v>
      </c>
      <c r="X213" s="3" t="s">
        <v>147</v>
      </c>
      <c r="Y213" s="3">
        <v>0</v>
      </c>
      <c r="Z213" s="3">
        <v>0</v>
      </c>
      <c r="AA213" s="3">
        <v>0</v>
      </c>
      <c r="AB213" s="3">
        <v>0</v>
      </c>
      <c r="AC213" s="3">
        <v>1</v>
      </c>
      <c r="AD213" s="3">
        <v>2</v>
      </c>
      <c r="AE213" s="3">
        <v>14</v>
      </c>
      <c r="AF213" s="3" t="s">
        <v>0</v>
      </c>
      <c r="AG213" s="3" t="s">
        <v>0</v>
      </c>
    </row>
    <row r="214" spans="1:33" ht="38.25" x14ac:dyDescent="0.2">
      <c r="A214" s="4" t="str">
        <f>HYPERLINK("http://www.patentics.cn/invokexml.do?sf=ShowPatent&amp;spn=WO2009089798&amp;sv=12827f0bd7919e032844114f11abc97a","WO2009089798")</f>
        <v>WO2009089798</v>
      </c>
      <c r="B214" s="2" t="s">
        <v>1162</v>
      </c>
      <c r="C214" s="2" t="s">
        <v>1163</v>
      </c>
      <c r="D214" s="2" t="s">
        <v>1164</v>
      </c>
      <c r="E214" s="2" t="s">
        <v>1164</v>
      </c>
      <c r="F214" s="2" t="s">
        <v>1165</v>
      </c>
      <c r="G214" s="2" t="s">
        <v>1166</v>
      </c>
      <c r="H214" s="2" t="s">
        <v>1167</v>
      </c>
      <c r="I214" s="2" t="s">
        <v>1168</v>
      </c>
      <c r="J214" s="2" t="s">
        <v>1169</v>
      </c>
      <c r="K214" s="2" t="s">
        <v>82</v>
      </c>
      <c r="L214" s="2" t="s">
        <v>1170</v>
      </c>
      <c r="M214" s="2" t="s">
        <v>0</v>
      </c>
      <c r="N214" s="2" t="s">
        <v>0</v>
      </c>
      <c r="O214" s="2">
        <v>0</v>
      </c>
      <c r="P214" s="2">
        <v>0</v>
      </c>
      <c r="Q214" s="2" t="s">
        <v>352</v>
      </c>
      <c r="R214" s="2" t="s">
        <v>47</v>
      </c>
      <c r="S214" s="2">
        <v>2</v>
      </c>
      <c r="T214" s="2">
        <v>1</v>
      </c>
      <c r="U214" s="2">
        <v>1</v>
      </c>
      <c r="V214" s="2">
        <v>2</v>
      </c>
      <c r="W214" s="2">
        <v>20</v>
      </c>
      <c r="X214" s="2" t="s">
        <v>1171</v>
      </c>
      <c r="Y214" s="2">
        <v>0</v>
      </c>
      <c r="Z214" s="2">
        <v>20</v>
      </c>
      <c r="AA214" s="2">
        <v>2</v>
      </c>
      <c r="AB214" s="2">
        <v>3</v>
      </c>
      <c r="AC214" s="2">
        <v>14</v>
      </c>
      <c r="AD214" s="2">
        <v>7</v>
      </c>
      <c r="AE214" s="2" t="s">
        <v>0</v>
      </c>
      <c r="AF214" s="2">
        <v>13</v>
      </c>
      <c r="AG214" s="2" t="s">
        <v>0</v>
      </c>
    </row>
    <row r="215" spans="1:33" ht="63.75" x14ac:dyDescent="0.2">
      <c r="A215" s="5" t="str">
        <f>HYPERLINK("http://www.patentics.cn/invokexml.do?sf=ShowPatent&amp;spn=US8638131&amp;sv=39265516102f7abba38053998061543f","US8638131")</f>
        <v>US8638131</v>
      </c>
      <c r="B215" s="3" t="s">
        <v>887</v>
      </c>
      <c r="C215" s="3" t="s">
        <v>888</v>
      </c>
      <c r="D215" s="3" t="s">
        <v>52</v>
      </c>
      <c r="E215" s="3" t="s">
        <v>52</v>
      </c>
      <c r="F215" s="3" t="s">
        <v>889</v>
      </c>
      <c r="G215" s="3" t="s">
        <v>890</v>
      </c>
      <c r="H215" s="3" t="s">
        <v>891</v>
      </c>
      <c r="I215" s="3" t="s">
        <v>891</v>
      </c>
      <c r="J215" s="3" t="s">
        <v>892</v>
      </c>
      <c r="K215" s="3" t="s">
        <v>893</v>
      </c>
      <c r="L215" s="3" t="s">
        <v>894</v>
      </c>
      <c r="M215" s="3" t="s">
        <v>893</v>
      </c>
      <c r="N215" s="3" t="s">
        <v>895</v>
      </c>
      <c r="O215" s="3">
        <v>0</v>
      </c>
      <c r="P215" s="3">
        <v>13</v>
      </c>
      <c r="Q215" s="3" t="s">
        <v>60</v>
      </c>
      <c r="R215" s="3" t="s">
        <v>61</v>
      </c>
      <c r="S215" s="3">
        <v>178</v>
      </c>
      <c r="T215" s="3">
        <v>42</v>
      </c>
      <c r="U215" s="3">
        <v>136</v>
      </c>
      <c r="V215" s="3">
        <v>52</v>
      </c>
      <c r="W215" s="3">
        <v>4</v>
      </c>
      <c r="X215" s="3" t="s">
        <v>896</v>
      </c>
      <c r="Y215" s="3">
        <v>2</v>
      </c>
      <c r="Z215" s="3">
        <v>2</v>
      </c>
      <c r="AA215" s="3">
        <v>3</v>
      </c>
      <c r="AB215" s="3">
        <v>1</v>
      </c>
      <c r="AC215" s="3">
        <v>3</v>
      </c>
      <c r="AD215" s="3">
        <v>2</v>
      </c>
      <c r="AE215" s="3">
        <v>14</v>
      </c>
      <c r="AF215" s="3" t="s">
        <v>0</v>
      </c>
      <c r="AG215" s="3" t="s">
        <v>49</v>
      </c>
    </row>
    <row r="216" spans="1:33" ht="63.75" x14ac:dyDescent="0.2">
      <c r="A216" s="5" t="str">
        <f>HYPERLINK("http://www.patentics.cn/invokexml.do?sf=ShowPatent&amp;spn=US8724563&amp;sv=06b4d914a8390abe11a621880ea34bde","US8724563")</f>
        <v>US8724563</v>
      </c>
      <c r="B216" s="3" t="s">
        <v>897</v>
      </c>
      <c r="C216" s="3" t="s">
        <v>898</v>
      </c>
      <c r="D216" s="3" t="s">
        <v>52</v>
      </c>
      <c r="E216" s="3" t="s">
        <v>52</v>
      </c>
      <c r="F216" s="3" t="s">
        <v>899</v>
      </c>
      <c r="G216" s="3" t="s">
        <v>900</v>
      </c>
      <c r="H216" s="3" t="s">
        <v>901</v>
      </c>
      <c r="I216" s="3" t="s">
        <v>902</v>
      </c>
      <c r="J216" s="3" t="s">
        <v>903</v>
      </c>
      <c r="K216" s="3" t="s">
        <v>82</v>
      </c>
      <c r="L216" s="3" t="s">
        <v>83</v>
      </c>
      <c r="M216" s="3" t="s">
        <v>58</v>
      </c>
      <c r="N216" s="3" t="s">
        <v>904</v>
      </c>
      <c r="O216" s="3">
        <v>0</v>
      </c>
      <c r="P216" s="3">
        <v>11</v>
      </c>
      <c r="Q216" s="3" t="s">
        <v>60</v>
      </c>
      <c r="R216" s="3" t="s">
        <v>61</v>
      </c>
      <c r="S216" s="3">
        <v>181</v>
      </c>
      <c r="T216" s="3">
        <v>42</v>
      </c>
      <c r="U216" s="3">
        <v>139</v>
      </c>
      <c r="V216" s="3">
        <v>54</v>
      </c>
      <c r="W216" s="3">
        <v>4</v>
      </c>
      <c r="X216" s="3" t="s">
        <v>905</v>
      </c>
      <c r="Y216" s="3">
        <v>3</v>
      </c>
      <c r="Z216" s="3">
        <v>1</v>
      </c>
      <c r="AA216" s="3">
        <v>2</v>
      </c>
      <c r="AB216" s="3">
        <v>1</v>
      </c>
      <c r="AC216" s="3">
        <v>21</v>
      </c>
      <c r="AD216" s="3">
        <v>7</v>
      </c>
      <c r="AE216" s="3">
        <v>14</v>
      </c>
      <c r="AF216" s="3" t="s">
        <v>0</v>
      </c>
      <c r="AG216" s="3" t="s">
        <v>49</v>
      </c>
    </row>
    <row r="217" spans="1:33" ht="76.5" x14ac:dyDescent="0.2">
      <c r="A217" s="5" t="str">
        <f>HYPERLINK("http://www.patentics.cn/invokexml.do?sf=ShowPatent&amp;spn=US8886190&amp;sv=accdd99c2216fc98d326216297465038","US8886190")</f>
        <v>US8886190</v>
      </c>
      <c r="B217" s="3" t="s">
        <v>906</v>
      </c>
      <c r="C217" s="3" t="s">
        <v>907</v>
      </c>
      <c r="D217" s="3" t="s">
        <v>52</v>
      </c>
      <c r="E217" s="3" t="s">
        <v>52</v>
      </c>
      <c r="F217" s="3" t="s">
        <v>908</v>
      </c>
      <c r="G217" s="3" t="s">
        <v>454</v>
      </c>
      <c r="H217" s="3" t="s">
        <v>909</v>
      </c>
      <c r="I217" s="3" t="s">
        <v>910</v>
      </c>
      <c r="J217" s="3" t="s">
        <v>196</v>
      </c>
      <c r="K217" s="3" t="s">
        <v>82</v>
      </c>
      <c r="L217" s="3" t="s">
        <v>911</v>
      </c>
      <c r="M217" s="3" t="s">
        <v>82</v>
      </c>
      <c r="N217" s="3" t="s">
        <v>799</v>
      </c>
      <c r="O217" s="3">
        <v>0</v>
      </c>
      <c r="P217" s="3">
        <v>10</v>
      </c>
      <c r="Q217" s="3" t="s">
        <v>60</v>
      </c>
      <c r="R217" s="3" t="s">
        <v>61</v>
      </c>
      <c r="S217" s="3">
        <v>235</v>
      </c>
      <c r="T217" s="3">
        <v>51</v>
      </c>
      <c r="U217" s="3">
        <v>184</v>
      </c>
      <c r="V217" s="3">
        <v>63</v>
      </c>
      <c r="W217" s="3">
        <v>4</v>
      </c>
      <c r="X217" s="3" t="s">
        <v>912</v>
      </c>
      <c r="Y217" s="3">
        <v>3</v>
      </c>
      <c r="Z217" s="3">
        <v>1</v>
      </c>
      <c r="AA217" s="3">
        <v>2</v>
      </c>
      <c r="AB217" s="3">
        <v>1</v>
      </c>
      <c r="AC217" s="3">
        <v>7</v>
      </c>
      <c r="AD217" s="3">
        <v>6</v>
      </c>
      <c r="AE217" s="3">
        <v>14</v>
      </c>
      <c r="AF217" s="3" t="s">
        <v>0</v>
      </c>
      <c r="AG217" s="3" t="s">
        <v>49</v>
      </c>
    </row>
    <row r="218" spans="1:33" ht="89.25" x14ac:dyDescent="0.2">
      <c r="A218" s="5" t="str">
        <f>HYPERLINK("http://www.patentics.cn/invokexml.do?sf=ShowPatent&amp;spn=US8942192&amp;sv=87109fc2ff2f4e42f1db86db68428e2e","US8942192")</f>
        <v>US8942192</v>
      </c>
      <c r="B218" s="3" t="s">
        <v>913</v>
      </c>
      <c r="C218" s="3" t="s">
        <v>914</v>
      </c>
      <c r="D218" s="3" t="s">
        <v>52</v>
      </c>
      <c r="E218" s="3" t="s">
        <v>52</v>
      </c>
      <c r="F218" s="3" t="s">
        <v>915</v>
      </c>
      <c r="G218" s="3" t="s">
        <v>454</v>
      </c>
      <c r="H218" s="3" t="s">
        <v>916</v>
      </c>
      <c r="I218" s="3" t="s">
        <v>917</v>
      </c>
      <c r="J218" s="3" t="s">
        <v>918</v>
      </c>
      <c r="K218" s="3" t="s">
        <v>82</v>
      </c>
      <c r="L218" s="3" t="s">
        <v>244</v>
      </c>
      <c r="M218" s="3" t="s">
        <v>82</v>
      </c>
      <c r="N218" s="3" t="s">
        <v>919</v>
      </c>
      <c r="O218" s="3">
        <v>0</v>
      </c>
      <c r="P218" s="3">
        <v>18</v>
      </c>
      <c r="Q218" s="3" t="s">
        <v>60</v>
      </c>
      <c r="R218" s="3" t="s">
        <v>61</v>
      </c>
      <c r="S218" s="3">
        <v>248</v>
      </c>
      <c r="T218" s="3">
        <v>52</v>
      </c>
      <c r="U218" s="3">
        <v>196</v>
      </c>
      <c r="V218" s="3">
        <v>64</v>
      </c>
      <c r="W218" s="3">
        <v>17</v>
      </c>
      <c r="X218" s="3" t="s">
        <v>920</v>
      </c>
      <c r="Y218" s="3">
        <v>1</v>
      </c>
      <c r="Z218" s="3">
        <v>16</v>
      </c>
      <c r="AA218" s="3">
        <v>3</v>
      </c>
      <c r="AB218" s="3">
        <v>2</v>
      </c>
      <c r="AC218" s="3">
        <v>26</v>
      </c>
      <c r="AD218" s="3">
        <v>12</v>
      </c>
      <c r="AE218" s="3">
        <v>14</v>
      </c>
      <c r="AF218" s="3" t="s">
        <v>0</v>
      </c>
      <c r="AG218" s="3" t="s">
        <v>49</v>
      </c>
    </row>
    <row r="219" spans="1:33" ht="76.5" x14ac:dyDescent="0.2">
      <c r="A219" s="5" t="str">
        <f>HYPERLINK("http://www.patentics.cn/invokexml.do?sf=ShowPatent&amp;spn=US9106378&amp;sv=109dca1a95e0286c0676843dc271f0e5","US9106378")</f>
        <v>US9106378</v>
      </c>
      <c r="B219" s="3" t="s">
        <v>921</v>
      </c>
      <c r="C219" s="3" t="s">
        <v>922</v>
      </c>
      <c r="D219" s="3" t="s">
        <v>52</v>
      </c>
      <c r="E219" s="3" t="s">
        <v>52</v>
      </c>
      <c r="F219" s="3" t="s">
        <v>923</v>
      </c>
      <c r="G219" s="3" t="s">
        <v>924</v>
      </c>
      <c r="H219" s="3" t="s">
        <v>925</v>
      </c>
      <c r="I219" s="3" t="s">
        <v>926</v>
      </c>
      <c r="J219" s="3" t="s">
        <v>927</v>
      </c>
      <c r="K219" s="3" t="s">
        <v>82</v>
      </c>
      <c r="L219" s="3" t="s">
        <v>226</v>
      </c>
      <c r="M219" s="3" t="s">
        <v>0</v>
      </c>
      <c r="N219" s="3" t="s">
        <v>0</v>
      </c>
      <c r="O219" s="3">
        <v>0</v>
      </c>
      <c r="P219" s="3">
        <v>17</v>
      </c>
      <c r="Q219" s="3" t="s">
        <v>60</v>
      </c>
      <c r="R219" s="3" t="s">
        <v>61</v>
      </c>
      <c r="S219" s="3">
        <v>262</v>
      </c>
      <c r="T219" s="3">
        <v>53</v>
      </c>
      <c r="U219" s="3">
        <v>209</v>
      </c>
      <c r="V219" s="3">
        <v>65</v>
      </c>
      <c r="W219" s="3">
        <v>0</v>
      </c>
      <c r="X219" s="3" t="s">
        <v>147</v>
      </c>
      <c r="Y219" s="3">
        <v>0</v>
      </c>
      <c r="Z219" s="3">
        <v>0</v>
      </c>
      <c r="AA219" s="3">
        <v>0</v>
      </c>
      <c r="AB219" s="3">
        <v>0</v>
      </c>
      <c r="AC219" s="3">
        <v>13</v>
      </c>
      <c r="AD219" s="3">
        <v>7</v>
      </c>
      <c r="AE219" s="3">
        <v>14</v>
      </c>
      <c r="AF219" s="3" t="s">
        <v>0</v>
      </c>
      <c r="AG219" s="3" t="s">
        <v>49</v>
      </c>
    </row>
    <row r="220" spans="1:33" ht="140.25" x14ac:dyDescent="0.2">
      <c r="A220" s="5" t="str">
        <f>HYPERLINK("http://www.patentics.cn/invokexml.do?sf=ShowPatent&amp;spn=US9125072&amp;sv=0a35516ca99592a4263a31d9700485cf","US9125072")</f>
        <v>US9125072</v>
      </c>
      <c r="B220" s="3" t="s">
        <v>928</v>
      </c>
      <c r="C220" s="3" t="s">
        <v>929</v>
      </c>
      <c r="D220" s="3" t="s">
        <v>52</v>
      </c>
      <c r="E220" s="3" t="s">
        <v>52</v>
      </c>
      <c r="F220" s="3" t="s">
        <v>930</v>
      </c>
      <c r="G220" s="3" t="s">
        <v>78</v>
      </c>
      <c r="H220" s="3" t="s">
        <v>931</v>
      </c>
      <c r="I220" s="3" t="s">
        <v>932</v>
      </c>
      <c r="J220" s="3" t="s">
        <v>816</v>
      </c>
      <c r="K220" s="3" t="s">
        <v>82</v>
      </c>
      <c r="L220" s="3" t="s">
        <v>226</v>
      </c>
      <c r="M220" s="3" t="s">
        <v>0</v>
      </c>
      <c r="N220" s="3" t="s">
        <v>0</v>
      </c>
      <c r="O220" s="3">
        <v>0</v>
      </c>
      <c r="P220" s="3">
        <v>11</v>
      </c>
      <c r="Q220" s="3" t="s">
        <v>60</v>
      </c>
      <c r="R220" s="3" t="s">
        <v>61</v>
      </c>
      <c r="S220" s="3">
        <v>274</v>
      </c>
      <c r="T220" s="3">
        <v>55</v>
      </c>
      <c r="U220" s="3">
        <v>219</v>
      </c>
      <c r="V220" s="3">
        <v>64</v>
      </c>
      <c r="W220" s="3">
        <v>8</v>
      </c>
      <c r="X220" s="3" t="s">
        <v>933</v>
      </c>
      <c r="Y220" s="3">
        <v>1</v>
      </c>
      <c r="Z220" s="3">
        <v>7</v>
      </c>
      <c r="AA220" s="3">
        <v>2</v>
      </c>
      <c r="AB220" s="3">
        <v>2</v>
      </c>
      <c r="AC220" s="3">
        <v>22</v>
      </c>
      <c r="AD220" s="3">
        <v>11</v>
      </c>
      <c r="AE220" s="3">
        <v>14</v>
      </c>
      <c r="AF220" s="3" t="s">
        <v>0</v>
      </c>
      <c r="AG220" s="3" t="s">
        <v>49</v>
      </c>
    </row>
    <row r="221" spans="1:33" ht="102" x14ac:dyDescent="0.2">
      <c r="A221" s="5" t="str">
        <f>HYPERLINK("http://www.patentics.cn/invokexml.do?sf=ShowPatent&amp;spn=US9144037&amp;sv=1b44d15f404b6823ede5c41f2168ed63","US9144037")</f>
        <v>US9144037</v>
      </c>
      <c r="B221" s="3" t="s">
        <v>934</v>
      </c>
      <c r="C221" s="3" t="s">
        <v>935</v>
      </c>
      <c r="D221" s="3" t="s">
        <v>52</v>
      </c>
      <c r="E221" s="3" t="s">
        <v>52</v>
      </c>
      <c r="F221" s="3" t="s">
        <v>936</v>
      </c>
      <c r="G221" s="3" t="s">
        <v>937</v>
      </c>
      <c r="H221" s="3" t="s">
        <v>938</v>
      </c>
      <c r="I221" s="3" t="s">
        <v>939</v>
      </c>
      <c r="J221" s="3" t="s">
        <v>240</v>
      </c>
      <c r="K221" s="3" t="s">
        <v>84</v>
      </c>
      <c r="L221" s="3" t="s">
        <v>163</v>
      </c>
      <c r="M221" s="3" t="s">
        <v>82</v>
      </c>
      <c r="N221" s="3" t="s">
        <v>940</v>
      </c>
      <c r="O221" s="3">
        <v>0</v>
      </c>
      <c r="P221" s="3">
        <v>15</v>
      </c>
      <c r="Q221" s="3" t="s">
        <v>60</v>
      </c>
      <c r="R221" s="3" t="s">
        <v>61</v>
      </c>
      <c r="S221" s="3">
        <v>276</v>
      </c>
      <c r="T221" s="3">
        <v>53</v>
      </c>
      <c r="U221" s="3">
        <v>223</v>
      </c>
      <c r="V221" s="3">
        <v>65</v>
      </c>
      <c r="W221" s="3">
        <v>0</v>
      </c>
      <c r="X221" s="3" t="s">
        <v>147</v>
      </c>
      <c r="Y221" s="3">
        <v>0</v>
      </c>
      <c r="Z221" s="3">
        <v>0</v>
      </c>
      <c r="AA221" s="3">
        <v>0</v>
      </c>
      <c r="AB221" s="3">
        <v>0</v>
      </c>
      <c r="AC221" s="3">
        <v>15</v>
      </c>
      <c r="AD221" s="3">
        <v>7</v>
      </c>
      <c r="AE221" s="3">
        <v>14</v>
      </c>
      <c r="AF221" s="3" t="s">
        <v>0</v>
      </c>
      <c r="AG221" s="3" t="s">
        <v>49</v>
      </c>
    </row>
    <row r="222" spans="1:33" ht="229.5" x14ac:dyDescent="0.2">
      <c r="A222" s="5" t="str">
        <f>HYPERLINK("http://www.patentics.cn/invokexml.do?sf=ShowPatent&amp;spn=US9226288&amp;sv=50d74d97714cc499dcdeeea75ddcc1b9","US9226288")</f>
        <v>US9226288</v>
      </c>
      <c r="B222" s="3" t="s">
        <v>941</v>
      </c>
      <c r="C222" s="3" t="s">
        <v>942</v>
      </c>
      <c r="D222" s="3" t="s">
        <v>52</v>
      </c>
      <c r="E222" s="3" t="s">
        <v>52</v>
      </c>
      <c r="F222" s="3" t="s">
        <v>943</v>
      </c>
      <c r="G222" s="3" t="s">
        <v>944</v>
      </c>
      <c r="H222" s="3" t="s">
        <v>931</v>
      </c>
      <c r="I222" s="3" t="s">
        <v>932</v>
      </c>
      <c r="J222" s="3" t="s">
        <v>294</v>
      </c>
      <c r="K222" s="3" t="s">
        <v>82</v>
      </c>
      <c r="L222" s="3" t="s">
        <v>83</v>
      </c>
      <c r="M222" s="3" t="s">
        <v>82</v>
      </c>
      <c r="N222" s="3" t="s">
        <v>945</v>
      </c>
      <c r="O222" s="3">
        <v>0</v>
      </c>
      <c r="P222" s="3">
        <v>15</v>
      </c>
      <c r="Q222" s="3" t="s">
        <v>60</v>
      </c>
      <c r="R222" s="3" t="s">
        <v>61</v>
      </c>
      <c r="S222" s="3">
        <v>278</v>
      </c>
      <c r="T222" s="3">
        <v>55</v>
      </c>
      <c r="U222" s="3">
        <v>223</v>
      </c>
      <c r="V222" s="3">
        <v>65</v>
      </c>
      <c r="W222" s="3">
        <v>0</v>
      </c>
      <c r="X222" s="3" t="s">
        <v>147</v>
      </c>
      <c r="Y222" s="3">
        <v>0</v>
      </c>
      <c r="Z222" s="3">
        <v>0</v>
      </c>
      <c r="AA222" s="3">
        <v>0</v>
      </c>
      <c r="AB222" s="3">
        <v>0</v>
      </c>
      <c r="AC222" s="3">
        <v>8</v>
      </c>
      <c r="AD222" s="3">
        <v>6</v>
      </c>
      <c r="AE222" s="3">
        <v>14</v>
      </c>
      <c r="AF222" s="3" t="s">
        <v>0</v>
      </c>
      <c r="AG222" s="3" t="s">
        <v>49</v>
      </c>
    </row>
    <row r="223" spans="1:33" ht="76.5" x14ac:dyDescent="0.2">
      <c r="A223" s="5" t="str">
        <f>HYPERLINK("http://www.patentics.cn/invokexml.do?sf=ShowPatent&amp;spn=US9271167&amp;sv=e401f5289229974ed8a94cd08f8a9054","US9271167")</f>
        <v>US9271167</v>
      </c>
      <c r="B223" s="3" t="s">
        <v>953</v>
      </c>
      <c r="C223" s="3" t="s">
        <v>954</v>
      </c>
      <c r="D223" s="3" t="s">
        <v>52</v>
      </c>
      <c r="E223" s="3" t="s">
        <v>52</v>
      </c>
      <c r="F223" s="3" t="s">
        <v>955</v>
      </c>
      <c r="G223" s="3" t="s">
        <v>956</v>
      </c>
      <c r="H223" s="3" t="s">
        <v>931</v>
      </c>
      <c r="I223" s="3" t="s">
        <v>957</v>
      </c>
      <c r="J223" s="3" t="s">
        <v>669</v>
      </c>
      <c r="K223" s="3" t="s">
        <v>82</v>
      </c>
      <c r="L223" s="3" t="s">
        <v>806</v>
      </c>
      <c r="M223" s="3" t="s">
        <v>82</v>
      </c>
      <c r="N223" s="3" t="s">
        <v>958</v>
      </c>
      <c r="O223" s="3">
        <v>0</v>
      </c>
      <c r="P223" s="3">
        <v>16</v>
      </c>
      <c r="Q223" s="3" t="s">
        <v>60</v>
      </c>
      <c r="R223" s="3" t="s">
        <v>61</v>
      </c>
      <c r="S223" s="3">
        <v>279</v>
      </c>
      <c r="T223" s="3">
        <v>55</v>
      </c>
      <c r="U223" s="3">
        <v>224</v>
      </c>
      <c r="V223" s="3">
        <v>65</v>
      </c>
      <c r="W223" s="3">
        <v>21</v>
      </c>
      <c r="X223" s="3" t="s">
        <v>108</v>
      </c>
      <c r="Y223" s="3">
        <v>0</v>
      </c>
      <c r="Z223" s="3">
        <v>21</v>
      </c>
      <c r="AA223" s="3">
        <v>1</v>
      </c>
      <c r="AB223" s="3">
        <v>2</v>
      </c>
      <c r="AC223" s="3">
        <v>20</v>
      </c>
      <c r="AD223" s="3">
        <v>13</v>
      </c>
      <c r="AE223" s="3">
        <v>14</v>
      </c>
      <c r="AF223" s="3" t="s">
        <v>0</v>
      </c>
      <c r="AG223" s="3" t="s">
        <v>49</v>
      </c>
    </row>
    <row r="224" spans="1:33" ht="76.5" x14ac:dyDescent="0.2">
      <c r="A224" s="5" t="str">
        <f>HYPERLINK("http://www.patentics.cn/invokexml.do?sf=ShowPatent&amp;spn=US9277566&amp;sv=1e06c5731d657aed16e04b24a7f25f6b","US9277566")</f>
        <v>US9277566</v>
      </c>
      <c r="B224" s="3" t="s">
        <v>959</v>
      </c>
      <c r="C224" s="3" t="s">
        <v>960</v>
      </c>
      <c r="D224" s="3" t="s">
        <v>52</v>
      </c>
      <c r="E224" s="3" t="s">
        <v>52</v>
      </c>
      <c r="F224" s="3" t="s">
        <v>961</v>
      </c>
      <c r="G224" s="3" t="s">
        <v>962</v>
      </c>
      <c r="H224" s="3" t="s">
        <v>963</v>
      </c>
      <c r="I224" s="3" t="s">
        <v>964</v>
      </c>
      <c r="J224" s="3" t="s">
        <v>965</v>
      </c>
      <c r="K224" s="3" t="s">
        <v>82</v>
      </c>
      <c r="L224" s="3" t="s">
        <v>83</v>
      </c>
      <c r="M224" s="3" t="s">
        <v>82</v>
      </c>
      <c r="N224" s="3" t="s">
        <v>966</v>
      </c>
      <c r="O224" s="3">
        <v>0</v>
      </c>
      <c r="P224" s="3">
        <v>10</v>
      </c>
      <c r="Q224" s="3" t="s">
        <v>60</v>
      </c>
      <c r="R224" s="3" t="s">
        <v>61</v>
      </c>
      <c r="S224" s="3">
        <v>279</v>
      </c>
      <c r="T224" s="3">
        <v>56</v>
      </c>
      <c r="U224" s="3">
        <v>223</v>
      </c>
      <c r="V224" s="3">
        <v>65</v>
      </c>
      <c r="W224" s="3">
        <v>0</v>
      </c>
      <c r="X224" s="3" t="s">
        <v>147</v>
      </c>
      <c r="Y224" s="3">
        <v>0</v>
      </c>
      <c r="Z224" s="3">
        <v>0</v>
      </c>
      <c r="AA224" s="3">
        <v>0</v>
      </c>
      <c r="AB224" s="3">
        <v>0</v>
      </c>
      <c r="AC224" s="3">
        <v>11</v>
      </c>
      <c r="AD224" s="3">
        <v>7</v>
      </c>
      <c r="AE224" s="3">
        <v>14</v>
      </c>
      <c r="AF224" s="3" t="s">
        <v>0</v>
      </c>
      <c r="AG224" s="3" t="s">
        <v>49</v>
      </c>
    </row>
    <row r="225" spans="1:33" ht="89.25" x14ac:dyDescent="0.2">
      <c r="A225" s="5" t="str">
        <f>HYPERLINK("http://www.patentics.cn/invokexml.do?sf=ShowPatent&amp;spn=US9281932&amp;sv=588db6af75c155f9b117f0850b28fd3c","US9281932")</f>
        <v>US9281932</v>
      </c>
      <c r="B225" s="3" t="s">
        <v>967</v>
      </c>
      <c r="C225" s="3" t="s">
        <v>914</v>
      </c>
      <c r="D225" s="3" t="s">
        <v>52</v>
      </c>
      <c r="E225" s="3" t="s">
        <v>52</v>
      </c>
      <c r="F225" s="3" t="s">
        <v>915</v>
      </c>
      <c r="G225" s="3" t="s">
        <v>454</v>
      </c>
      <c r="H225" s="3" t="s">
        <v>916</v>
      </c>
      <c r="I225" s="3" t="s">
        <v>968</v>
      </c>
      <c r="J225" s="3" t="s">
        <v>683</v>
      </c>
      <c r="K225" s="3" t="s">
        <v>82</v>
      </c>
      <c r="L225" s="3" t="s">
        <v>244</v>
      </c>
      <c r="M225" s="3" t="s">
        <v>58</v>
      </c>
      <c r="N225" s="3" t="s">
        <v>969</v>
      </c>
      <c r="O225" s="3">
        <v>0</v>
      </c>
      <c r="P225" s="3">
        <v>16</v>
      </c>
      <c r="Q225" s="3" t="s">
        <v>60</v>
      </c>
      <c r="R225" s="3" t="s">
        <v>61</v>
      </c>
      <c r="S225" s="3">
        <v>276</v>
      </c>
      <c r="T225" s="3">
        <v>54</v>
      </c>
      <c r="U225" s="3">
        <v>222</v>
      </c>
      <c r="V225" s="3">
        <v>64</v>
      </c>
      <c r="W225" s="3">
        <v>14</v>
      </c>
      <c r="X225" s="3" t="s">
        <v>147</v>
      </c>
      <c r="Y225" s="3">
        <v>0</v>
      </c>
      <c r="Z225" s="3">
        <v>14</v>
      </c>
      <c r="AA225" s="3">
        <v>0</v>
      </c>
      <c r="AB225" s="3">
        <v>1</v>
      </c>
      <c r="AC225" s="3">
        <v>26</v>
      </c>
      <c r="AD225" s="3">
        <v>12</v>
      </c>
      <c r="AE225" s="3">
        <v>14</v>
      </c>
      <c r="AF225" s="3" t="s">
        <v>0</v>
      </c>
      <c r="AG225" s="3" t="s">
        <v>49</v>
      </c>
    </row>
    <row r="226" spans="1:33" ht="140.25" x14ac:dyDescent="0.2">
      <c r="A226" s="5" t="str">
        <f>HYPERLINK("http://www.patentics.cn/invokexml.do?sf=ShowPatent&amp;spn=US9282472&amp;sv=12573b5a134f751a53fd2109d243d1ed","US9282472")</f>
        <v>US9282472</v>
      </c>
      <c r="B226" s="3" t="s">
        <v>970</v>
      </c>
      <c r="C226" s="3" t="s">
        <v>971</v>
      </c>
      <c r="D226" s="3" t="s">
        <v>52</v>
      </c>
      <c r="E226" s="3" t="s">
        <v>52</v>
      </c>
      <c r="F226" s="3" t="s">
        <v>930</v>
      </c>
      <c r="G226" s="3" t="s">
        <v>78</v>
      </c>
      <c r="H226" s="3" t="s">
        <v>931</v>
      </c>
      <c r="I226" s="3" t="s">
        <v>972</v>
      </c>
      <c r="J226" s="3" t="s">
        <v>683</v>
      </c>
      <c r="K226" s="3" t="s">
        <v>82</v>
      </c>
      <c r="L226" s="3" t="s">
        <v>226</v>
      </c>
      <c r="M226" s="3" t="s">
        <v>82</v>
      </c>
      <c r="N226" s="3" t="s">
        <v>958</v>
      </c>
      <c r="O226" s="3">
        <v>0</v>
      </c>
      <c r="P226" s="3">
        <v>10</v>
      </c>
      <c r="Q226" s="3" t="s">
        <v>60</v>
      </c>
      <c r="R226" s="3" t="s">
        <v>61</v>
      </c>
      <c r="S226" s="3">
        <v>286</v>
      </c>
      <c r="T226" s="3">
        <v>62</v>
      </c>
      <c r="U226" s="3">
        <v>224</v>
      </c>
      <c r="V226" s="3">
        <v>65</v>
      </c>
      <c r="W226" s="3">
        <v>6</v>
      </c>
      <c r="X226" s="3" t="s">
        <v>147</v>
      </c>
      <c r="Y226" s="3">
        <v>0</v>
      </c>
      <c r="Z226" s="3">
        <v>6</v>
      </c>
      <c r="AA226" s="3">
        <v>0</v>
      </c>
      <c r="AB226" s="3">
        <v>1</v>
      </c>
      <c r="AC226" s="3">
        <v>22</v>
      </c>
      <c r="AD226" s="3">
        <v>11</v>
      </c>
      <c r="AE226" s="3">
        <v>14</v>
      </c>
      <c r="AF226" s="3" t="s">
        <v>0</v>
      </c>
      <c r="AG226" s="3" t="s">
        <v>49</v>
      </c>
    </row>
    <row r="227" spans="1:33" ht="255" x14ac:dyDescent="0.2">
      <c r="A227" s="5" t="str">
        <f>HYPERLINK("http://www.patentics.cn/invokexml.do?sf=ShowPatent&amp;spn=US9392608&amp;sv=08c237f9c4d3167556ddb89b7357ba3e","US9392608")</f>
        <v>US9392608</v>
      </c>
      <c r="B227" s="3" t="s">
        <v>973</v>
      </c>
      <c r="C227" s="3" t="s">
        <v>974</v>
      </c>
      <c r="D227" s="3" t="s">
        <v>52</v>
      </c>
      <c r="E227" s="3" t="s">
        <v>52</v>
      </c>
      <c r="F227" s="3" t="s">
        <v>975</v>
      </c>
      <c r="G227" s="3" t="s">
        <v>956</v>
      </c>
      <c r="H227" s="3" t="s">
        <v>931</v>
      </c>
      <c r="I227" s="3" t="s">
        <v>932</v>
      </c>
      <c r="J227" s="3" t="s">
        <v>976</v>
      </c>
      <c r="K227" s="3" t="s">
        <v>82</v>
      </c>
      <c r="L227" s="3" t="s">
        <v>226</v>
      </c>
      <c r="M227" s="3" t="s">
        <v>82</v>
      </c>
      <c r="N227" s="3" t="s">
        <v>977</v>
      </c>
      <c r="O227" s="3">
        <v>0</v>
      </c>
      <c r="P227" s="3">
        <v>15</v>
      </c>
      <c r="Q227" s="3" t="s">
        <v>60</v>
      </c>
      <c r="R227" s="3" t="s">
        <v>61</v>
      </c>
      <c r="S227" s="3">
        <v>285</v>
      </c>
      <c r="T227" s="3">
        <v>55</v>
      </c>
      <c r="U227" s="3">
        <v>230</v>
      </c>
      <c r="V227" s="3">
        <v>66</v>
      </c>
      <c r="W227" s="3">
        <v>0</v>
      </c>
      <c r="X227" s="3" t="s">
        <v>147</v>
      </c>
      <c r="Y227" s="3">
        <v>0</v>
      </c>
      <c r="Z227" s="3">
        <v>0</v>
      </c>
      <c r="AA227" s="3">
        <v>0</v>
      </c>
      <c r="AB227" s="3">
        <v>0</v>
      </c>
      <c r="AC227" s="3">
        <v>16</v>
      </c>
      <c r="AD227" s="3">
        <v>10</v>
      </c>
      <c r="AE227" s="3">
        <v>14</v>
      </c>
      <c r="AF227" s="3" t="s">
        <v>0</v>
      </c>
      <c r="AG227" s="3" t="s">
        <v>49</v>
      </c>
    </row>
    <row r="228" spans="1:33" ht="38.25" x14ac:dyDescent="0.2">
      <c r="A228" s="4" t="str">
        <f>HYPERLINK("http://www.patentics.cn/invokexml.do?sf=ShowPatent&amp;spn=CN101505498&amp;sv=675d0faf01ef71e844218712a4119dbe","CN101505498")</f>
        <v>CN101505498</v>
      </c>
      <c r="B228" s="2" t="s">
        <v>1172</v>
      </c>
      <c r="C228" s="2" t="s">
        <v>1173</v>
      </c>
      <c r="D228" s="2" t="s">
        <v>38</v>
      </c>
      <c r="E228" s="2" t="s">
        <v>38</v>
      </c>
      <c r="F228" s="2" t="s">
        <v>1174</v>
      </c>
      <c r="G228" s="2" t="s">
        <v>1175</v>
      </c>
      <c r="H228" s="2" t="s">
        <v>1114</v>
      </c>
      <c r="I228" s="2" t="s">
        <v>1114</v>
      </c>
      <c r="J228" s="2" t="s">
        <v>1176</v>
      </c>
      <c r="K228" s="2" t="s">
        <v>82</v>
      </c>
      <c r="L228" s="2" t="s">
        <v>1177</v>
      </c>
      <c r="M228" s="2" t="s">
        <v>0</v>
      </c>
      <c r="N228" s="2" t="s">
        <v>0</v>
      </c>
      <c r="O228" s="2">
        <v>11</v>
      </c>
      <c r="P228" s="2">
        <v>14</v>
      </c>
      <c r="Q228" s="2" t="s">
        <v>46</v>
      </c>
      <c r="R228" s="2" t="s">
        <v>47</v>
      </c>
      <c r="S228" s="2">
        <v>0</v>
      </c>
      <c r="T228" s="2">
        <v>0</v>
      </c>
      <c r="U228" s="2">
        <v>0</v>
      </c>
      <c r="V228" s="2">
        <v>0</v>
      </c>
      <c r="W228" s="2">
        <v>89</v>
      </c>
      <c r="X228" s="2" t="s">
        <v>1178</v>
      </c>
      <c r="Y228" s="2">
        <v>25</v>
      </c>
      <c r="Z228" s="2">
        <v>64</v>
      </c>
      <c r="AA228" s="2">
        <v>17</v>
      </c>
      <c r="AB228" s="2">
        <v>3</v>
      </c>
      <c r="AC228" s="2">
        <v>1</v>
      </c>
      <c r="AD228" s="2">
        <v>1</v>
      </c>
      <c r="AE228" s="2" t="s">
        <v>0</v>
      </c>
      <c r="AF228" s="2">
        <v>13</v>
      </c>
      <c r="AG228" s="2" t="s">
        <v>49</v>
      </c>
    </row>
    <row r="229" spans="1:33" ht="76.5" x14ac:dyDescent="0.2">
      <c r="A229" s="5" t="str">
        <f>HYPERLINK("http://www.patentics.cn/invokexml.do?sf=ShowPatent&amp;spn=US8886190&amp;sv=accdd99c2216fc98d326216297465038","US8886190")</f>
        <v>US8886190</v>
      </c>
      <c r="B229" s="3" t="s">
        <v>906</v>
      </c>
      <c r="C229" s="3" t="s">
        <v>907</v>
      </c>
      <c r="D229" s="3" t="s">
        <v>52</v>
      </c>
      <c r="E229" s="3" t="s">
        <v>52</v>
      </c>
      <c r="F229" s="3" t="s">
        <v>908</v>
      </c>
      <c r="G229" s="3" t="s">
        <v>454</v>
      </c>
      <c r="H229" s="3" t="s">
        <v>909</v>
      </c>
      <c r="I229" s="3" t="s">
        <v>910</v>
      </c>
      <c r="J229" s="3" t="s">
        <v>196</v>
      </c>
      <c r="K229" s="3" t="s">
        <v>82</v>
      </c>
      <c r="L229" s="3" t="s">
        <v>911</v>
      </c>
      <c r="M229" s="3" t="s">
        <v>82</v>
      </c>
      <c r="N229" s="3" t="s">
        <v>799</v>
      </c>
      <c r="O229" s="3">
        <v>0</v>
      </c>
      <c r="P229" s="3">
        <v>10</v>
      </c>
      <c r="Q229" s="3" t="s">
        <v>60</v>
      </c>
      <c r="R229" s="3" t="s">
        <v>61</v>
      </c>
      <c r="S229" s="3">
        <v>235</v>
      </c>
      <c r="T229" s="3">
        <v>51</v>
      </c>
      <c r="U229" s="3">
        <v>184</v>
      </c>
      <c r="V229" s="3">
        <v>63</v>
      </c>
      <c r="W229" s="3">
        <v>4</v>
      </c>
      <c r="X229" s="3" t="s">
        <v>912</v>
      </c>
      <c r="Y229" s="3">
        <v>3</v>
      </c>
      <c r="Z229" s="3">
        <v>1</v>
      </c>
      <c r="AA229" s="3">
        <v>2</v>
      </c>
      <c r="AB229" s="3">
        <v>1</v>
      </c>
      <c r="AC229" s="3">
        <v>7</v>
      </c>
      <c r="AD229" s="3">
        <v>6</v>
      </c>
      <c r="AE229" s="3">
        <v>14</v>
      </c>
      <c r="AF229" s="3" t="s">
        <v>0</v>
      </c>
      <c r="AG229" s="3" t="s">
        <v>49</v>
      </c>
    </row>
    <row r="230" spans="1:33" ht="89.25" x14ac:dyDescent="0.2">
      <c r="A230" s="5" t="str">
        <f>HYPERLINK("http://www.patentics.cn/invokexml.do?sf=ShowPatent&amp;spn=US8942192&amp;sv=87109fc2ff2f4e42f1db86db68428e2e","US8942192")</f>
        <v>US8942192</v>
      </c>
      <c r="B230" s="3" t="s">
        <v>913</v>
      </c>
      <c r="C230" s="3" t="s">
        <v>914</v>
      </c>
      <c r="D230" s="3" t="s">
        <v>52</v>
      </c>
      <c r="E230" s="3" t="s">
        <v>52</v>
      </c>
      <c r="F230" s="3" t="s">
        <v>915</v>
      </c>
      <c r="G230" s="3" t="s">
        <v>454</v>
      </c>
      <c r="H230" s="3" t="s">
        <v>916</v>
      </c>
      <c r="I230" s="3" t="s">
        <v>917</v>
      </c>
      <c r="J230" s="3" t="s">
        <v>918</v>
      </c>
      <c r="K230" s="3" t="s">
        <v>82</v>
      </c>
      <c r="L230" s="3" t="s">
        <v>244</v>
      </c>
      <c r="M230" s="3" t="s">
        <v>82</v>
      </c>
      <c r="N230" s="3" t="s">
        <v>919</v>
      </c>
      <c r="O230" s="3">
        <v>0</v>
      </c>
      <c r="P230" s="3">
        <v>18</v>
      </c>
      <c r="Q230" s="3" t="s">
        <v>60</v>
      </c>
      <c r="R230" s="3" t="s">
        <v>61</v>
      </c>
      <c r="S230" s="3">
        <v>248</v>
      </c>
      <c r="T230" s="3">
        <v>52</v>
      </c>
      <c r="U230" s="3">
        <v>196</v>
      </c>
      <c r="V230" s="3">
        <v>64</v>
      </c>
      <c r="W230" s="3">
        <v>17</v>
      </c>
      <c r="X230" s="3" t="s">
        <v>920</v>
      </c>
      <c r="Y230" s="3">
        <v>1</v>
      </c>
      <c r="Z230" s="3">
        <v>16</v>
      </c>
      <c r="AA230" s="3">
        <v>3</v>
      </c>
      <c r="AB230" s="3">
        <v>2</v>
      </c>
      <c r="AC230" s="3">
        <v>26</v>
      </c>
      <c r="AD230" s="3">
        <v>12</v>
      </c>
      <c r="AE230" s="3">
        <v>14</v>
      </c>
      <c r="AF230" s="3" t="s">
        <v>0</v>
      </c>
      <c r="AG230" s="3" t="s">
        <v>49</v>
      </c>
    </row>
    <row r="231" spans="1:33" ht="76.5" x14ac:dyDescent="0.2">
      <c r="A231" s="5" t="str">
        <f>HYPERLINK("http://www.patentics.cn/invokexml.do?sf=ShowPatent&amp;spn=US9106378&amp;sv=109dca1a95e0286c0676843dc271f0e5","US9106378")</f>
        <v>US9106378</v>
      </c>
      <c r="B231" s="3" t="s">
        <v>921</v>
      </c>
      <c r="C231" s="3" t="s">
        <v>922</v>
      </c>
      <c r="D231" s="3" t="s">
        <v>52</v>
      </c>
      <c r="E231" s="3" t="s">
        <v>52</v>
      </c>
      <c r="F231" s="3" t="s">
        <v>923</v>
      </c>
      <c r="G231" s="3" t="s">
        <v>924</v>
      </c>
      <c r="H231" s="3" t="s">
        <v>925</v>
      </c>
      <c r="I231" s="3" t="s">
        <v>926</v>
      </c>
      <c r="J231" s="3" t="s">
        <v>927</v>
      </c>
      <c r="K231" s="3" t="s">
        <v>82</v>
      </c>
      <c r="L231" s="3" t="s">
        <v>226</v>
      </c>
      <c r="M231" s="3" t="s">
        <v>0</v>
      </c>
      <c r="N231" s="3" t="s">
        <v>0</v>
      </c>
      <c r="O231" s="3">
        <v>0</v>
      </c>
      <c r="P231" s="3">
        <v>17</v>
      </c>
      <c r="Q231" s="3" t="s">
        <v>60</v>
      </c>
      <c r="R231" s="3" t="s">
        <v>61</v>
      </c>
      <c r="S231" s="3">
        <v>262</v>
      </c>
      <c r="T231" s="3">
        <v>53</v>
      </c>
      <c r="U231" s="3">
        <v>209</v>
      </c>
      <c r="V231" s="3">
        <v>65</v>
      </c>
      <c r="W231" s="3">
        <v>0</v>
      </c>
      <c r="X231" s="3" t="s">
        <v>147</v>
      </c>
      <c r="Y231" s="3">
        <v>0</v>
      </c>
      <c r="Z231" s="3">
        <v>0</v>
      </c>
      <c r="AA231" s="3">
        <v>0</v>
      </c>
      <c r="AB231" s="3">
        <v>0</v>
      </c>
      <c r="AC231" s="3">
        <v>13</v>
      </c>
      <c r="AD231" s="3">
        <v>7</v>
      </c>
      <c r="AE231" s="3">
        <v>14</v>
      </c>
      <c r="AF231" s="3" t="s">
        <v>0</v>
      </c>
      <c r="AG231" s="3" t="s">
        <v>49</v>
      </c>
    </row>
    <row r="232" spans="1:33" ht="140.25" x14ac:dyDescent="0.2">
      <c r="A232" s="5" t="str">
        <f>HYPERLINK("http://www.patentics.cn/invokexml.do?sf=ShowPatent&amp;spn=US9125072&amp;sv=0a35516ca99592a4263a31d9700485cf","US9125072")</f>
        <v>US9125072</v>
      </c>
      <c r="B232" s="3" t="s">
        <v>928</v>
      </c>
      <c r="C232" s="3" t="s">
        <v>929</v>
      </c>
      <c r="D232" s="3" t="s">
        <v>52</v>
      </c>
      <c r="E232" s="3" t="s">
        <v>52</v>
      </c>
      <c r="F232" s="3" t="s">
        <v>930</v>
      </c>
      <c r="G232" s="3" t="s">
        <v>78</v>
      </c>
      <c r="H232" s="3" t="s">
        <v>931</v>
      </c>
      <c r="I232" s="3" t="s">
        <v>932</v>
      </c>
      <c r="J232" s="3" t="s">
        <v>816</v>
      </c>
      <c r="K232" s="3" t="s">
        <v>82</v>
      </c>
      <c r="L232" s="3" t="s">
        <v>226</v>
      </c>
      <c r="M232" s="3" t="s">
        <v>0</v>
      </c>
      <c r="N232" s="3" t="s">
        <v>0</v>
      </c>
      <c r="O232" s="3">
        <v>0</v>
      </c>
      <c r="P232" s="3">
        <v>11</v>
      </c>
      <c r="Q232" s="3" t="s">
        <v>60</v>
      </c>
      <c r="R232" s="3" t="s">
        <v>61</v>
      </c>
      <c r="S232" s="3">
        <v>274</v>
      </c>
      <c r="T232" s="3">
        <v>55</v>
      </c>
      <c r="U232" s="3">
        <v>219</v>
      </c>
      <c r="V232" s="3">
        <v>64</v>
      </c>
      <c r="W232" s="3">
        <v>8</v>
      </c>
      <c r="X232" s="3" t="s">
        <v>933</v>
      </c>
      <c r="Y232" s="3">
        <v>1</v>
      </c>
      <c r="Z232" s="3">
        <v>7</v>
      </c>
      <c r="AA232" s="3">
        <v>2</v>
      </c>
      <c r="AB232" s="3">
        <v>2</v>
      </c>
      <c r="AC232" s="3">
        <v>22</v>
      </c>
      <c r="AD232" s="3">
        <v>11</v>
      </c>
      <c r="AE232" s="3">
        <v>14</v>
      </c>
      <c r="AF232" s="3" t="s">
        <v>0</v>
      </c>
      <c r="AG232" s="3" t="s">
        <v>49</v>
      </c>
    </row>
    <row r="233" spans="1:33" ht="102" x14ac:dyDescent="0.2">
      <c r="A233" s="5" t="str">
        <f>HYPERLINK("http://www.patentics.cn/invokexml.do?sf=ShowPatent&amp;spn=US9144037&amp;sv=1b44d15f404b6823ede5c41f2168ed63","US9144037")</f>
        <v>US9144037</v>
      </c>
      <c r="B233" s="3" t="s">
        <v>934</v>
      </c>
      <c r="C233" s="3" t="s">
        <v>935</v>
      </c>
      <c r="D233" s="3" t="s">
        <v>52</v>
      </c>
      <c r="E233" s="3" t="s">
        <v>52</v>
      </c>
      <c r="F233" s="3" t="s">
        <v>936</v>
      </c>
      <c r="G233" s="3" t="s">
        <v>937</v>
      </c>
      <c r="H233" s="3" t="s">
        <v>938</v>
      </c>
      <c r="I233" s="3" t="s">
        <v>939</v>
      </c>
      <c r="J233" s="3" t="s">
        <v>240</v>
      </c>
      <c r="K233" s="3" t="s">
        <v>84</v>
      </c>
      <c r="L233" s="3" t="s">
        <v>163</v>
      </c>
      <c r="M233" s="3" t="s">
        <v>82</v>
      </c>
      <c r="N233" s="3" t="s">
        <v>940</v>
      </c>
      <c r="O233" s="3">
        <v>0</v>
      </c>
      <c r="P233" s="3">
        <v>15</v>
      </c>
      <c r="Q233" s="3" t="s">
        <v>60</v>
      </c>
      <c r="R233" s="3" t="s">
        <v>61</v>
      </c>
      <c r="S233" s="3">
        <v>276</v>
      </c>
      <c r="T233" s="3">
        <v>53</v>
      </c>
      <c r="U233" s="3">
        <v>223</v>
      </c>
      <c r="V233" s="3">
        <v>65</v>
      </c>
      <c r="W233" s="3">
        <v>0</v>
      </c>
      <c r="X233" s="3" t="s">
        <v>147</v>
      </c>
      <c r="Y233" s="3">
        <v>0</v>
      </c>
      <c r="Z233" s="3">
        <v>0</v>
      </c>
      <c r="AA233" s="3">
        <v>0</v>
      </c>
      <c r="AB233" s="3">
        <v>0</v>
      </c>
      <c r="AC233" s="3">
        <v>15</v>
      </c>
      <c r="AD233" s="3">
        <v>7</v>
      </c>
      <c r="AE233" s="3">
        <v>14</v>
      </c>
      <c r="AF233" s="3" t="s">
        <v>0</v>
      </c>
      <c r="AG233" s="3" t="s">
        <v>49</v>
      </c>
    </row>
    <row r="234" spans="1:33" ht="229.5" x14ac:dyDescent="0.2">
      <c r="A234" s="5" t="str">
        <f>HYPERLINK("http://www.patentics.cn/invokexml.do?sf=ShowPatent&amp;spn=US9226288&amp;sv=50d74d97714cc499dcdeeea75ddcc1b9","US9226288")</f>
        <v>US9226288</v>
      </c>
      <c r="B234" s="3" t="s">
        <v>941</v>
      </c>
      <c r="C234" s="3" t="s">
        <v>942</v>
      </c>
      <c r="D234" s="3" t="s">
        <v>52</v>
      </c>
      <c r="E234" s="3" t="s">
        <v>52</v>
      </c>
      <c r="F234" s="3" t="s">
        <v>943</v>
      </c>
      <c r="G234" s="3" t="s">
        <v>944</v>
      </c>
      <c r="H234" s="3" t="s">
        <v>931</v>
      </c>
      <c r="I234" s="3" t="s">
        <v>932</v>
      </c>
      <c r="J234" s="3" t="s">
        <v>294</v>
      </c>
      <c r="K234" s="3" t="s">
        <v>82</v>
      </c>
      <c r="L234" s="3" t="s">
        <v>83</v>
      </c>
      <c r="M234" s="3" t="s">
        <v>82</v>
      </c>
      <c r="N234" s="3" t="s">
        <v>945</v>
      </c>
      <c r="O234" s="3">
        <v>0</v>
      </c>
      <c r="P234" s="3">
        <v>15</v>
      </c>
      <c r="Q234" s="3" t="s">
        <v>60</v>
      </c>
      <c r="R234" s="3" t="s">
        <v>61</v>
      </c>
      <c r="S234" s="3">
        <v>278</v>
      </c>
      <c r="T234" s="3">
        <v>55</v>
      </c>
      <c r="U234" s="3">
        <v>223</v>
      </c>
      <c r="V234" s="3">
        <v>65</v>
      </c>
      <c r="W234" s="3">
        <v>0</v>
      </c>
      <c r="X234" s="3" t="s">
        <v>147</v>
      </c>
      <c r="Y234" s="3">
        <v>0</v>
      </c>
      <c r="Z234" s="3">
        <v>0</v>
      </c>
      <c r="AA234" s="3">
        <v>0</v>
      </c>
      <c r="AB234" s="3">
        <v>0</v>
      </c>
      <c r="AC234" s="3">
        <v>8</v>
      </c>
      <c r="AD234" s="3">
        <v>6</v>
      </c>
      <c r="AE234" s="3">
        <v>14</v>
      </c>
      <c r="AF234" s="3" t="s">
        <v>0</v>
      </c>
      <c r="AG234" s="3" t="s">
        <v>49</v>
      </c>
    </row>
    <row r="235" spans="1:33" ht="76.5" x14ac:dyDescent="0.2">
      <c r="A235" s="5" t="str">
        <f>HYPERLINK("http://www.patentics.cn/invokexml.do?sf=ShowPatent&amp;spn=US9271167&amp;sv=e401f5289229974ed8a94cd08f8a9054","US9271167")</f>
        <v>US9271167</v>
      </c>
      <c r="B235" s="3" t="s">
        <v>953</v>
      </c>
      <c r="C235" s="3" t="s">
        <v>954</v>
      </c>
      <c r="D235" s="3" t="s">
        <v>52</v>
      </c>
      <c r="E235" s="3" t="s">
        <v>52</v>
      </c>
      <c r="F235" s="3" t="s">
        <v>955</v>
      </c>
      <c r="G235" s="3" t="s">
        <v>956</v>
      </c>
      <c r="H235" s="3" t="s">
        <v>931</v>
      </c>
      <c r="I235" s="3" t="s">
        <v>957</v>
      </c>
      <c r="J235" s="3" t="s">
        <v>669</v>
      </c>
      <c r="K235" s="3" t="s">
        <v>82</v>
      </c>
      <c r="L235" s="3" t="s">
        <v>806</v>
      </c>
      <c r="M235" s="3" t="s">
        <v>82</v>
      </c>
      <c r="N235" s="3" t="s">
        <v>958</v>
      </c>
      <c r="O235" s="3">
        <v>0</v>
      </c>
      <c r="P235" s="3">
        <v>16</v>
      </c>
      <c r="Q235" s="3" t="s">
        <v>60</v>
      </c>
      <c r="R235" s="3" t="s">
        <v>61</v>
      </c>
      <c r="S235" s="3">
        <v>279</v>
      </c>
      <c r="T235" s="3">
        <v>55</v>
      </c>
      <c r="U235" s="3">
        <v>224</v>
      </c>
      <c r="V235" s="3">
        <v>65</v>
      </c>
      <c r="W235" s="3">
        <v>21</v>
      </c>
      <c r="X235" s="3" t="s">
        <v>108</v>
      </c>
      <c r="Y235" s="3">
        <v>0</v>
      </c>
      <c r="Z235" s="3">
        <v>21</v>
      </c>
      <c r="AA235" s="3">
        <v>1</v>
      </c>
      <c r="AB235" s="3">
        <v>2</v>
      </c>
      <c r="AC235" s="3">
        <v>20</v>
      </c>
      <c r="AD235" s="3">
        <v>13</v>
      </c>
      <c r="AE235" s="3">
        <v>14</v>
      </c>
      <c r="AF235" s="3" t="s">
        <v>0</v>
      </c>
      <c r="AG235" s="3" t="s">
        <v>49</v>
      </c>
    </row>
    <row r="236" spans="1:33" ht="76.5" x14ac:dyDescent="0.2">
      <c r="A236" s="5" t="str">
        <f>HYPERLINK("http://www.patentics.cn/invokexml.do?sf=ShowPatent&amp;spn=US9277566&amp;sv=1e06c5731d657aed16e04b24a7f25f6b","US9277566")</f>
        <v>US9277566</v>
      </c>
      <c r="B236" s="3" t="s">
        <v>959</v>
      </c>
      <c r="C236" s="3" t="s">
        <v>960</v>
      </c>
      <c r="D236" s="3" t="s">
        <v>52</v>
      </c>
      <c r="E236" s="3" t="s">
        <v>52</v>
      </c>
      <c r="F236" s="3" t="s">
        <v>961</v>
      </c>
      <c r="G236" s="3" t="s">
        <v>962</v>
      </c>
      <c r="H236" s="3" t="s">
        <v>963</v>
      </c>
      <c r="I236" s="3" t="s">
        <v>964</v>
      </c>
      <c r="J236" s="3" t="s">
        <v>965</v>
      </c>
      <c r="K236" s="3" t="s">
        <v>82</v>
      </c>
      <c r="L236" s="3" t="s">
        <v>83</v>
      </c>
      <c r="M236" s="3" t="s">
        <v>82</v>
      </c>
      <c r="N236" s="3" t="s">
        <v>966</v>
      </c>
      <c r="O236" s="3">
        <v>0</v>
      </c>
      <c r="P236" s="3">
        <v>10</v>
      </c>
      <c r="Q236" s="3" t="s">
        <v>60</v>
      </c>
      <c r="R236" s="3" t="s">
        <v>61</v>
      </c>
      <c r="S236" s="3">
        <v>279</v>
      </c>
      <c r="T236" s="3">
        <v>56</v>
      </c>
      <c r="U236" s="3">
        <v>223</v>
      </c>
      <c r="V236" s="3">
        <v>65</v>
      </c>
      <c r="W236" s="3">
        <v>0</v>
      </c>
      <c r="X236" s="3" t="s">
        <v>147</v>
      </c>
      <c r="Y236" s="3">
        <v>0</v>
      </c>
      <c r="Z236" s="3">
        <v>0</v>
      </c>
      <c r="AA236" s="3">
        <v>0</v>
      </c>
      <c r="AB236" s="3">
        <v>0</v>
      </c>
      <c r="AC236" s="3">
        <v>11</v>
      </c>
      <c r="AD236" s="3">
        <v>7</v>
      </c>
      <c r="AE236" s="3">
        <v>14</v>
      </c>
      <c r="AF236" s="3" t="s">
        <v>0</v>
      </c>
      <c r="AG236" s="3" t="s">
        <v>49</v>
      </c>
    </row>
    <row r="237" spans="1:33" ht="89.25" x14ac:dyDescent="0.2">
      <c r="A237" s="5" t="str">
        <f>HYPERLINK("http://www.patentics.cn/invokexml.do?sf=ShowPatent&amp;spn=US9281932&amp;sv=588db6af75c155f9b117f0850b28fd3c","US9281932")</f>
        <v>US9281932</v>
      </c>
      <c r="B237" s="3" t="s">
        <v>967</v>
      </c>
      <c r="C237" s="3" t="s">
        <v>914</v>
      </c>
      <c r="D237" s="3" t="s">
        <v>52</v>
      </c>
      <c r="E237" s="3" t="s">
        <v>52</v>
      </c>
      <c r="F237" s="3" t="s">
        <v>915</v>
      </c>
      <c r="G237" s="3" t="s">
        <v>454</v>
      </c>
      <c r="H237" s="3" t="s">
        <v>916</v>
      </c>
      <c r="I237" s="3" t="s">
        <v>968</v>
      </c>
      <c r="J237" s="3" t="s">
        <v>683</v>
      </c>
      <c r="K237" s="3" t="s">
        <v>82</v>
      </c>
      <c r="L237" s="3" t="s">
        <v>244</v>
      </c>
      <c r="M237" s="3" t="s">
        <v>58</v>
      </c>
      <c r="N237" s="3" t="s">
        <v>969</v>
      </c>
      <c r="O237" s="3">
        <v>0</v>
      </c>
      <c r="P237" s="3">
        <v>16</v>
      </c>
      <c r="Q237" s="3" t="s">
        <v>60</v>
      </c>
      <c r="R237" s="3" t="s">
        <v>61</v>
      </c>
      <c r="S237" s="3">
        <v>276</v>
      </c>
      <c r="T237" s="3">
        <v>54</v>
      </c>
      <c r="U237" s="3">
        <v>222</v>
      </c>
      <c r="V237" s="3">
        <v>64</v>
      </c>
      <c r="W237" s="3">
        <v>14</v>
      </c>
      <c r="X237" s="3" t="s">
        <v>147</v>
      </c>
      <c r="Y237" s="3">
        <v>0</v>
      </c>
      <c r="Z237" s="3">
        <v>14</v>
      </c>
      <c r="AA237" s="3">
        <v>0</v>
      </c>
      <c r="AB237" s="3">
        <v>1</v>
      </c>
      <c r="AC237" s="3">
        <v>26</v>
      </c>
      <c r="AD237" s="3">
        <v>12</v>
      </c>
      <c r="AE237" s="3">
        <v>14</v>
      </c>
      <c r="AF237" s="3" t="s">
        <v>0</v>
      </c>
      <c r="AG237" s="3" t="s">
        <v>49</v>
      </c>
    </row>
    <row r="238" spans="1:33" ht="140.25" x14ac:dyDescent="0.2">
      <c r="A238" s="5" t="str">
        <f>HYPERLINK("http://www.patentics.cn/invokexml.do?sf=ShowPatent&amp;spn=US9282472&amp;sv=12573b5a134f751a53fd2109d243d1ed","US9282472")</f>
        <v>US9282472</v>
      </c>
      <c r="B238" s="3" t="s">
        <v>970</v>
      </c>
      <c r="C238" s="3" t="s">
        <v>971</v>
      </c>
      <c r="D238" s="3" t="s">
        <v>52</v>
      </c>
      <c r="E238" s="3" t="s">
        <v>52</v>
      </c>
      <c r="F238" s="3" t="s">
        <v>930</v>
      </c>
      <c r="G238" s="3" t="s">
        <v>78</v>
      </c>
      <c r="H238" s="3" t="s">
        <v>931</v>
      </c>
      <c r="I238" s="3" t="s">
        <v>972</v>
      </c>
      <c r="J238" s="3" t="s">
        <v>683</v>
      </c>
      <c r="K238" s="3" t="s">
        <v>82</v>
      </c>
      <c r="L238" s="3" t="s">
        <v>226</v>
      </c>
      <c r="M238" s="3" t="s">
        <v>82</v>
      </c>
      <c r="N238" s="3" t="s">
        <v>958</v>
      </c>
      <c r="O238" s="3">
        <v>0</v>
      </c>
      <c r="P238" s="3">
        <v>10</v>
      </c>
      <c r="Q238" s="3" t="s">
        <v>60</v>
      </c>
      <c r="R238" s="3" t="s">
        <v>61</v>
      </c>
      <c r="S238" s="3">
        <v>286</v>
      </c>
      <c r="T238" s="3">
        <v>62</v>
      </c>
      <c r="U238" s="3">
        <v>224</v>
      </c>
      <c r="V238" s="3">
        <v>65</v>
      </c>
      <c r="W238" s="3">
        <v>6</v>
      </c>
      <c r="X238" s="3" t="s">
        <v>147</v>
      </c>
      <c r="Y238" s="3">
        <v>0</v>
      </c>
      <c r="Z238" s="3">
        <v>6</v>
      </c>
      <c r="AA238" s="3">
        <v>0</v>
      </c>
      <c r="AB238" s="3">
        <v>1</v>
      </c>
      <c r="AC238" s="3">
        <v>22</v>
      </c>
      <c r="AD238" s="3">
        <v>11</v>
      </c>
      <c r="AE238" s="3">
        <v>14</v>
      </c>
      <c r="AF238" s="3" t="s">
        <v>0</v>
      </c>
      <c r="AG238" s="3" t="s">
        <v>49</v>
      </c>
    </row>
    <row r="239" spans="1:33" ht="153" x14ac:dyDescent="0.2">
      <c r="A239" s="5" t="str">
        <f>HYPERLINK("http://www.patentics.cn/invokexml.do?sf=ShowPatent&amp;spn=US9351293&amp;sv=c6ec3d17a42b7be0a9ba762a65d22a59","US9351293")</f>
        <v>US9351293</v>
      </c>
      <c r="B239" s="3" t="s">
        <v>1179</v>
      </c>
      <c r="C239" s="3" t="s">
        <v>1180</v>
      </c>
      <c r="D239" s="3" t="s">
        <v>52</v>
      </c>
      <c r="E239" s="3" t="s">
        <v>52</v>
      </c>
      <c r="F239" s="3" t="s">
        <v>1181</v>
      </c>
      <c r="G239" s="3" t="s">
        <v>1091</v>
      </c>
      <c r="H239" s="3" t="s">
        <v>1182</v>
      </c>
      <c r="I239" s="3" t="s">
        <v>1183</v>
      </c>
      <c r="J239" s="3" t="s">
        <v>1184</v>
      </c>
      <c r="K239" s="3" t="s">
        <v>82</v>
      </c>
      <c r="L239" s="3" t="s">
        <v>244</v>
      </c>
      <c r="M239" s="3" t="s">
        <v>82</v>
      </c>
      <c r="N239" s="3" t="s">
        <v>1185</v>
      </c>
      <c r="O239" s="3">
        <v>0</v>
      </c>
      <c r="P239" s="3">
        <v>18</v>
      </c>
      <c r="Q239" s="3" t="s">
        <v>60</v>
      </c>
      <c r="R239" s="3" t="s">
        <v>61</v>
      </c>
      <c r="S239" s="3">
        <v>73</v>
      </c>
      <c r="T239" s="3">
        <v>8</v>
      </c>
      <c r="U239" s="3">
        <v>65</v>
      </c>
      <c r="V239" s="3">
        <v>18</v>
      </c>
      <c r="W239" s="3">
        <v>15</v>
      </c>
      <c r="X239" s="3" t="s">
        <v>1186</v>
      </c>
      <c r="Y239" s="3">
        <v>0</v>
      </c>
      <c r="Z239" s="3">
        <v>15</v>
      </c>
      <c r="AA239" s="3">
        <v>1</v>
      </c>
      <c r="AB239" s="3">
        <v>2</v>
      </c>
      <c r="AC239" s="3">
        <v>20</v>
      </c>
      <c r="AD239" s="3">
        <v>12</v>
      </c>
      <c r="AE239" s="3">
        <v>14</v>
      </c>
      <c r="AF239" s="3" t="s">
        <v>0</v>
      </c>
      <c r="AG239" s="3" t="s">
        <v>49</v>
      </c>
    </row>
    <row r="240" spans="1:33" ht="255" x14ac:dyDescent="0.2">
      <c r="A240" s="5" t="str">
        <f>HYPERLINK("http://www.patentics.cn/invokexml.do?sf=ShowPatent&amp;spn=US9392608&amp;sv=08c237f9c4d3167556ddb89b7357ba3e","US9392608")</f>
        <v>US9392608</v>
      </c>
      <c r="B240" s="3" t="s">
        <v>973</v>
      </c>
      <c r="C240" s="3" t="s">
        <v>974</v>
      </c>
      <c r="D240" s="3" t="s">
        <v>52</v>
      </c>
      <c r="E240" s="3" t="s">
        <v>52</v>
      </c>
      <c r="F240" s="3" t="s">
        <v>975</v>
      </c>
      <c r="G240" s="3" t="s">
        <v>956</v>
      </c>
      <c r="H240" s="3" t="s">
        <v>931</v>
      </c>
      <c r="I240" s="3" t="s">
        <v>932</v>
      </c>
      <c r="J240" s="3" t="s">
        <v>976</v>
      </c>
      <c r="K240" s="3" t="s">
        <v>82</v>
      </c>
      <c r="L240" s="3" t="s">
        <v>226</v>
      </c>
      <c r="M240" s="3" t="s">
        <v>82</v>
      </c>
      <c r="N240" s="3" t="s">
        <v>977</v>
      </c>
      <c r="O240" s="3">
        <v>0</v>
      </c>
      <c r="P240" s="3">
        <v>15</v>
      </c>
      <c r="Q240" s="3" t="s">
        <v>60</v>
      </c>
      <c r="R240" s="3" t="s">
        <v>61</v>
      </c>
      <c r="S240" s="3">
        <v>285</v>
      </c>
      <c r="T240" s="3">
        <v>55</v>
      </c>
      <c r="U240" s="3">
        <v>230</v>
      </c>
      <c r="V240" s="3">
        <v>66</v>
      </c>
      <c r="W240" s="3">
        <v>0</v>
      </c>
      <c r="X240" s="3" t="s">
        <v>147</v>
      </c>
      <c r="Y240" s="3">
        <v>0</v>
      </c>
      <c r="Z240" s="3">
        <v>0</v>
      </c>
      <c r="AA240" s="3">
        <v>0</v>
      </c>
      <c r="AB240" s="3">
        <v>0</v>
      </c>
      <c r="AC240" s="3">
        <v>16</v>
      </c>
      <c r="AD240" s="3">
        <v>10</v>
      </c>
      <c r="AE240" s="3">
        <v>14</v>
      </c>
      <c r="AF240" s="3" t="s">
        <v>0</v>
      </c>
      <c r="AG240" s="3" t="s">
        <v>49</v>
      </c>
    </row>
    <row r="241" spans="1:33" ht="76.5" x14ac:dyDescent="0.2">
      <c r="A241" s="5" t="str">
        <f>HYPERLINK("http://www.patentics.cn/invokexml.do?sf=ShowPatent&amp;spn=CN102687453B&amp;sv=6006caba194411b6bef4ebded74f9491","CN102687453B")</f>
        <v>CN102687453B</v>
      </c>
      <c r="B241" s="3" t="s">
        <v>1187</v>
      </c>
      <c r="C241" s="3" t="s">
        <v>1188</v>
      </c>
      <c r="D241" s="3" t="s">
        <v>338</v>
      </c>
      <c r="E241" s="3" t="s">
        <v>338</v>
      </c>
      <c r="F241" s="3" t="s">
        <v>1189</v>
      </c>
      <c r="G241" s="3" t="s">
        <v>1190</v>
      </c>
      <c r="H241" s="3" t="s">
        <v>501</v>
      </c>
      <c r="I241" s="3" t="s">
        <v>1191</v>
      </c>
      <c r="J241" s="3" t="s">
        <v>1192</v>
      </c>
      <c r="K241" s="3" t="s">
        <v>58</v>
      </c>
      <c r="L241" s="3" t="s">
        <v>188</v>
      </c>
      <c r="M241" s="3" t="s">
        <v>0</v>
      </c>
      <c r="N241" s="3" t="s">
        <v>0</v>
      </c>
      <c r="O241" s="3">
        <v>44</v>
      </c>
      <c r="P241" s="3">
        <v>20</v>
      </c>
      <c r="Q241" s="3" t="s">
        <v>60</v>
      </c>
      <c r="R241" s="3" t="s">
        <v>61</v>
      </c>
      <c r="S241" s="3">
        <v>1</v>
      </c>
      <c r="T241" s="3">
        <v>0</v>
      </c>
      <c r="U241" s="3">
        <v>1</v>
      </c>
      <c r="V241" s="3">
        <v>1</v>
      </c>
      <c r="W241" s="3">
        <v>6</v>
      </c>
      <c r="X241" s="3" t="s">
        <v>147</v>
      </c>
      <c r="Y241" s="3">
        <v>0</v>
      </c>
      <c r="Z241" s="3">
        <v>6</v>
      </c>
      <c r="AA241" s="3">
        <v>0</v>
      </c>
      <c r="AB241" s="3">
        <v>1</v>
      </c>
      <c r="AC241" s="3">
        <v>15</v>
      </c>
      <c r="AD241" s="3">
        <v>9</v>
      </c>
      <c r="AE241" s="3">
        <v>14</v>
      </c>
      <c r="AF241" s="3" t="s">
        <v>0</v>
      </c>
      <c r="AG241" s="3" t="s">
        <v>49</v>
      </c>
    </row>
    <row r="242" spans="1:33" ht="38.25" x14ac:dyDescent="0.2">
      <c r="A242" s="4" t="str">
        <f>HYPERLINK("http://www.patentics.cn/invokexml.do?sf=ShowPatent&amp;spn=US20110116364&amp;sv=b29b08d549f8bbfdbfd501105882de25","US20110116364")</f>
        <v>US20110116364</v>
      </c>
      <c r="B242" s="2" t="s">
        <v>1193</v>
      </c>
      <c r="C242" s="2" t="s">
        <v>1194</v>
      </c>
      <c r="D242" s="2" t="s">
        <v>346</v>
      </c>
      <c r="E242" s="2" t="s">
        <v>346</v>
      </c>
      <c r="F242" s="2" t="s">
        <v>1195</v>
      </c>
      <c r="G242" s="2" t="s">
        <v>1196</v>
      </c>
      <c r="H242" s="2" t="s">
        <v>1197</v>
      </c>
      <c r="I242" s="2" t="s">
        <v>1198</v>
      </c>
      <c r="J242" s="2" t="s">
        <v>1199</v>
      </c>
      <c r="K242" s="2" t="s">
        <v>58</v>
      </c>
      <c r="L242" s="2" t="s">
        <v>763</v>
      </c>
      <c r="M242" s="2" t="s">
        <v>0</v>
      </c>
      <c r="N242" s="2" t="s">
        <v>0</v>
      </c>
      <c r="O242" s="2">
        <v>20</v>
      </c>
      <c r="P242" s="2">
        <v>10</v>
      </c>
      <c r="Q242" s="2" t="s">
        <v>352</v>
      </c>
      <c r="R242" s="2" t="s">
        <v>47</v>
      </c>
      <c r="S242" s="2">
        <v>0</v>
      </c>
      <c r="T242" s="2">
        <v>0</v>
      </c>
      <c r="U242" s="2">
        <v>0</v>
      </c>
      <c r="V242" s="2">
        <v>0</v>
      </c>
      <c r="W242" s="2">
        <v>31</v>
      </c>
      <c r="X242" s="2" t="s">
        <v>1200</v>
      </c>
      <c r="Y242" s="2">
        <v>0</v>
      </c>
      <c r="Z242" s="2">
        <v>31</v>
      </c>
      <c r="AA242" s="2">
        <v>8</v>
      </c>
      <c r="AB242" s="2">
        <v>2</v>
      </c>
      <c r="AC242" s="2">
        <v>7</v>
      </c>
      <c r="AD242" s="2">
        <v>5</v>
      </c>
      <c r="AE242" s="2" t="s">
        <v>0</v>
      </c>
      <c r="AF242" s="2">
        <v>13</v>
      </c>
      <c r="AG242" s="2" t="s">
        <v>49</v>
      </c>
    </row>
    <row r="243" spans="1:33" ht="63.75" x14ac:dyDescent="0.2">
      <c r="A243" s="5" t="str">
        <f>HYPERLINK("http://www.patentics.cn/invokexml.do?sf=ShowPatent&amp;spn=US8638131&amp;sv=39265516102f7abba38053998061543f","US8638131")</f>
        <v>US8638131</v>
      </c>
      <c r="B243" s="3" t="s">
        <v>887</v>
      </c>
      <c r="C243" s="3" t="s">
        <v>888</v>
      </c>
      <c r="D243" s="3" t="s">
        <v>52</v>
      </c>
      <c r="E243" s="3" t="s">
        <v>52</v>
      </c>
      <c r="F243" s="3" t="s">
        <v>889</v>
      </c>
      <c r="G243" s="3" t="s">
        <v>890</v>
      </c>
      <c r="H243" s="3" t="s">
        <v>891</v>
      </c>
      <c r="I243" s="3" t="s">
        <v>891</v>
      </c>
      <c r="J243" s="3" t="s">
        <v>892</v>
      </c>
      <c r="K243" s="3" t="s">
        <v>893</v>
      </c>
      <c r="L243" s="3" t="s">
        <v>894</v>
      </c>
      <c r="M243" s="3" t="s">
        <v>893</v>
      </c>
      <c r="N243" s="3" t="s">
        <v>895</v>
      </c>
      <c r="O243" s="3">
        <v>0</v>
      </c>
      <c r="P243" s="3">
        <v>13</v>
      </c>
      <c r="Q243" s="3" t="s">
        <v>60</v>
      </c>
      <c r="R243" s="3" t="s">
        <v>61</v>
      </c>
      <c r="S243" s="3">
        <v>178</v>
      </c>
      <c r="T243" s="3">
        <v>42</v>
      </c>
      <c r="U243" s="3">
        <v>136</v>
      </c>
      <c r="V243" s="3">
        <v>52</v>
      </c>
      <c r="W243" s="3">
        <v>4</v>
      </c>
      <c r="X243" s="3" t="s">
        <v>896</v>
      </c>
      <c r="Y243" s="3">
        <v>2</v>
      </c>
      <c r="Z243" s="3">
        <v>2</v>
      </c>
      <c r="AA243" s="3">
        <v>3</v>
      </c>
      <c r="AB243" s="3">
        <v>1</v>
      </c>
      <c r="AC243" s="3">
        <v>3</v>
      </c>
      <c r="AD243" s="3">
        <v>2</v>
      </c>
      <c r="AE243" s="3">
        <v>14</v>
      </c>
      <c r="AF243" s="3" t="s">
        <v>0</v>
      </c>
      <c r="AG243" s="3" t="s">
        <v>49</v>
      </c>
    </row>
    <row r="244" spans="1:33" ht="63.75" x14ac:dyDescent="0.2">
      <c r="A244" s="5" t="str">
        <f>HYPERLINK("http://www.patentics.cn/invokexml.do?sf=ShowPatent&amp;spn=US8724563&amp;sv=06b4d914a8390abe11a621880ea34bde","US8724563")</f>
        <v>US8724563</v>
      </c>
      <c r="B244" s="3" t="s">
        <v>897</v>
      </c>
      <c r="C244" s="3" t="s">
        <v>898</v>
      </c>
      <c r="D244" s="3" t="s">
        <v>52</v>
      </c>
      <c r="E244" s="3" t="s">
        <v>52</v>
      </c>
      <c r="F244" s="3" t="s">
        <v>899</v>
      </c>
      <c r="G244" s="3" t="s">
        <v>900</v>
      </c>
      <c r="H244" s="3" t="s">
        <v>901</v>
      </c>
      <c r="I244" s="3" t="s">
        <v>902</v>
      </c>
      <c r="J244" s="3" t="s">
        <v>903</v>
      </c>
      <c r="K244" s="3" t="s">
        <v>82</v>
      </c>
      <c r="L244" s="3" t="s">
        <v>83</v>
      </c>
      <c r="M244" s="3" t="s">
        <v>58</v>
      </c>
      <c r="N244" s="3" t="s">
        <v>904</v>
      </c>
      <c r="O244" s="3">
        <v>0</v>
      </c>
      <c r="P244" s="3">
        <v>11</v>
      </c>
      <c r="Q244" s="3" t="s">
        <v>60</v>
      </c>
      <c r="R244" s="3" t="s">
        <v>61</v>
      </c>
      <c r="S244" s="3">
        <v>181</v>
      </c>
      <c r="T244" s="3">
        <v>42</v>
      </c>
      <c r="U244" s="3">
        <v>139</v>
      </c>
      <c r="V244" s="3">
        <v>54</v>
      </c>
      <c r="W244" s="3">
        <v>4</v>
      </c>
      <c r="X244" s="3" t="s">
        <v>905</v>
      </c>
      <c r="Y244" s="3">
        <v>3</v>
      </c>
      <c r="Z244" s="3">
        <v>1</v>
      </c>
      <c r="AA244" s="3">
        <v>2</v>
      </c>
      <c r="AB244" s="3">
        <v>1</v>
      </c>
      <c r="AC244" s="3">
        <v>21</v>
      </c>
      <c r="AD244" s="3">
        <v>7</v>
      </c>
      <c r="AE244" s="3">
        <v>14</v>
      </c>
      <c r="AF244" s="3" t="s">
        <v>0</v>
      </c>
      <c r="AG244" s="3" t="s">
        <v>49</v>
      </c>
    </row>
    <row r="245" spans="1:33" ht="76.5" x14ac:dyDescent="0.2">
      <c r="A245" s="5" t="str">
        <f>HYPERLINK("http://www.patentics.cn/invokexml.do?sf=ShowPatent&amp;spn=US8886190&amp;sv=accdd99c2216fc98d326216297465038","US8886190")</f>
        <v>US8886190</v>
      </c>
      <c r="B245" s="3" t="s">
        <v>906</v>
      </c>
      <c r="C245" s="3" t="s">
        <v>907</v>
      </c>
      <c r="D245" s="3" t="s">
        <v>52</v>
      </c>
      <c r="E245" s="3" t="s">
        <v>52</v>
      </c>
      <c r="F245" s="3" t="s">
        <v>908</v>
      </c>
      <c r="G245" s="3" t="s">
        <v>454</v>
      </c>
      <c r="H245" s="3" t="s">
        <v>909</v>
      </c>
      <c r="I245" s="3" t="s">
        <v>910</v>
      </c>
      <c r="J245" s="3" t="s">
        <v>196</v>
      </c>
      <c r="K245" s="3" t="s">
        <v>82</v>
      </c>
      <c r="L245" s="3" t="s">
        <v>911</v>
      </c>
      <c r="M245" s="3" t="s">
        <v>82</v>
      </c>
      <c r="N245" s="3" t="s">
        <v>799</v>
      </c>
      <c r="O245" s="3">
        <v>0</v>
      </c>
      <c r="P245" s="3">
        <v>10</v>
      </c>
      <c r="Q245" s="3" t="s">
        <v>60</v>
      </c>
      <c r="R245" s="3" t="s">
        <v>61</v>
      </c>
      <c r="S245" s="3">
        <v>235</v>
      </c>
      <c r="T245" s="3">
        <v>51</v>
      </c>
      <c r="U245" s="3">
        <v>184</v>
      </c>
      <c r="V245" s="3">
        <v>63</v>
      </c>
      <c r="W245" s="3">
        <v>4</v>
      </c>
      <c r="X245" s="3" t="s">
        <v>912</v>
      </c>
      <c r="Y245" s="3">
        <v>3</v>
      </c>
      <c r="Z245" s="3">
        <v>1</v>
      </c>
      <c r="AA245" s="3">
        <v>2</v>
      </c>
      <c r="AB245" s="3">
        <v>1</v>
      </c>
      <c r="AC245" s="3">
        <v>7</v>
      </c>
      <c r="AD245" s="3">
        <v>6</v>
      </c>
      <c r="AE245" s="3">
        <v>14</v>
      </c>
      <c r="AF245" s="3" t="s">
        <v>0</v>
      </c>
      <c r="AG245" s="3" t="s">
        <v>49</v>
      </c>
    </row>
    <row r="246" spans="1:33" ht="89.25" x14ac:dyDescent="0.2">
      <c r="A246" s="5" t="str">
        <f>HYPERLINK("http://www.patentics.cn/invokexml.do?sf=ShowPatent&amp;spn=US8942192&amp;sv=87109fc2ff2f4e42f1db86db68428e2e","US8942192")</f>
        <v>US8942192</v>
      </c>
      <c r="B246" s="3" t="s">
        <v>913</v>
      </c>
      <c r="C246" s="3" t="s">
        <v>914</v>
      </c>
      <c r="D246" s="3" t="s">
        <v>52</v>
      </c>
      <c r="E246" s="3" t="s">
        <v>52</v>
      </c>
      <c r="F246" s="3" t="s">
        <v>915</v>
      </c>
      <c r="G246" s="3" t="s">
        <v>454</v>
      </c>
      <c r="H246" s="3" t="s">
        <v>916</v>
      </c>
      <c r="I246" s="3" t="s">
        <v>917</v>
      </c>
      <c r="J246" s="3" t="s">
        <v>918</v>
      </c>
      <c r="K246" s="3" t="s">
        <v>82</v>
      </c>
      <c r="L246" s="3" t="s">
        <v>244</v>
      </c>
      <c r="M246" s="3" t="s">
        <v>82</v>
      </c>
      <c r="N246" s="3" t="s">
        <v>919</v>
      </c>
      <c r="O246" s="3">
        <v>0</v>
      </c>
      <c r="P246" s="3">
        <v>18</v>
      </c>
      <c r="Q246" s="3" t="s">
        <v>60</v>
      </c>
      <c r="R246" s="3" t="s">
        <v>61</v>
      </c>
      <c r="S246" s="3">
        <v>248</v>
      </c>
      <c r="T246" s="3">
        <v>52</v>
      </c>
      <c r="U246" s="3">
        <v>196</v>
      </c>
      <c r="V246" s="3">
        <v>64</v>
      </c>
      <c r="W246" s="3">
        <v>17</v>
      </c>
      <c r="X246" s="3" t="s">
        <v>920</v>
      </c>
      <c r="Y246" s="3">
        <v>1</v>
      </c>
      <c r="Z246" s="3">
        <v>16</v>
      </c>
      <c r="AA246" s="3">
        <v>3</v>
      </c>
      <c r="AB246" s="3">
        <v>2</v>
      </c>
      <c r="AC246" s="3">
        <v>26</v>
      </c>
      <c r="AD246" s="3">
        <v>12</v>
      </c>
      <c r="AE246" s="3">
        <v>14</v>
      </c>
      <c r="AF246" s="3" t="s">
        <v>0</v>
      </c>
      <c r="AG246" s="3" t="s">
        <v>49</v>
      </c>
    </row>
    <row r="247" spans="1:33" ht="76.5" x14ac:dyDescent="0.2">
      <c r="A247" s="5" t="str">
        <f>HYPERLINK("http://www.patentics.cn/invokexml.do?sf=ShowPatent&amp;spn=US9106378&amp;sv=109dca1a95e0286c0676843dc271f0e5","US9106378")</f>
        <v>US9106378</v>
      </c>
      <c r="B247" s="3" t="s">
        <v>921</v>
      </c>
      <c r="C247" s="3" t="s">
        <v>922</v>
      </c>
      <c r="D247" s="3" t="s">
        <v>52</v>
      </c>
      <c r="E247" s="3" t="s">
        <v>52</v>
      </c>
      <c r="F247" s="3" t="s">
        <v>923</v>
      </c>
      <c r="G247" s="3" t="s">
        <v>924</v>
      </c>
      <c r="H247" s="3" t="s">
        <v>925</v>
      </c>
      <c r="I247" s="3" t="s">
        <v>926</v>
      </c>
      <c r="J247" s="3" t="s">
        <v>927</v>
      </c>
      <c r="K247" s="3" t="s">
        <v>82</v>
      </c>
      <c r="L247" s="3" t="s">
        <v>226</v>
      </c>
      <c r="M247" s="3" t="s">
        <v>0</v>
      </c>
      <c r="N247" s="3" t="s">
        <v>0</v>
      </c>
      <c r="O247" s="3">
        <v>0</v>
      </c>
      <c r="P247" s="3">
        <v>17</v>
      </c>
      <c r="Q247" s="3" t="s">
        <v>60</v>
      </c>
      <c r="R247" s="3" t="s">
        <v>61</v>
      </c>
      <c r="S247" s="3">
        <v>262</v>
      </c>
      <c r="T247" s="3">
        <v>53</v>
      </c>
      <c r="U247" s="3">
        <v>209</v>
      </c>
      <c r="V247" s="3">
        <v>65</v>
      </c>
      <c r="W247" s="3">
        <v>0</v>
      </c>
      <c r="X247" s="3" t="s">
        <v>147</v>
      </c>
      <c r="Y247" s="3">
        <v>0</v>
      </c>
      <c r="Z247" s="3">
        <v>0</v>
      </c>
      <c r="AA247" s="3">
        <v>0</v>
      </c>
      <c r="AB247" s="3">
        <v>0</v>
      </c>
      <c r="AC247" s="3">
        <v>13</v>
      </c>
      <c r="AD247" s="3">
        <v>7</v>
      </c>
      <c r="AE247" s="3">
        <v>14</v>
      </c>
      <c r="AF247" s="3" t="s">
        <v>0</v>
      </c>
      <c r="AG247" s="3" t="s">
        <v>49</v>
      </c>
    </row>
    <row r="248" spans="1:33" ht="140.25" x14ac:dyDescent="0.2">
      <c r="A248" s="5" t="str">
        <f>HYPERLINK("http://www.patentics.cn/invokexml.do?sf=ShowPatent&amp;spn=US9125072&amp;sv=0a35516ca99592a4263a31d9700485cf","US9125072")</f>
        <v>US9125072</v>
      </c>
      <c r="B248" s="3" t="s">
        <v>928</v>
      </c>
      <c r="C248" s="3" t="s">
        <v>929</v>
      </c>
      <c r="D248" s="3" t="s">
        <v>52</v>
      </c>
      <c r="E248" s="3" t="s">
        <v>52</v>
      </c>
      <c r="F248" s="3" t="s">
        <v>930</v>
      </c>
      <c r="G248" s="3" t="s">
        <v>78</v>
      </c>
      <c r="H248" s="3" t="s">
        <v>931</v>
      </c>
      <c r="I248" s="3" t="s">
        <v>932</v>
      </c>
      <c r="J248" s="3" t="s">
        <v>816</v>
      </c>
      <c r="K248" s="3" t="s">
        <v>82</v>
      </c>
      <c r="L248" s="3" t="s">
        <v>226</v>
      </c>
      <c r="M248" s="3" t="s">
        <v>0</v>
      </c>
      <c r="N248" s="3" t="s">
        <v>0</v>
      </c>
      <c r="O248" s="3">
        <v>0</v>
      </c>
      <c r="P248" s="3">
        <v>11</v>
      </c>
      <c r="Q248" s="3" t="s">
        <v>60</v>
      </c>
      <c r="R248" s="3" t="s">
        <v>61</v>
      </c>
      <c r="S248" s="3">
        <v>274</v>
      </c>
      <c r="T248" s="3">
        <v>55</v>
      </c>
      <c r="U248" s="3">
        <v>219</v>
      </c>
      <c r="V248" s="3">
        <v>64</v>
      </c>
      <c r="W248" s="3">
        <v>8</v>
      </c>
      <c r="X248" s="3" t="s">
        <v>933</v>
      </c>
      <c r="Y248" s="3">
        <v>1</v>
      </c>
      <c r="Z248" s="3">
        <v>7</v>
      </c>
      <c r="AA248" s="3">
        <v>2</v>
      </c>
      <c r="AB248" s="3">
        <v>2</v>
      </c>
      <c r="AC248" s="3">
        <v>22</v>
      </c>
      <c r="AD248" s="3">
        <v>11</v>
      </c>
      <c r="AE248" s="3">
        <v>14</v>
      </c>
      <c r="AF248" s="3" t="s">
        <v>0</v>
      </c>
      <c r="AG248" s="3" t="s">
        <v>49</v>
      </c>
    </row>
    <row r="249" spans="1:33" ht="102" x14ac:dyDescent="0.2">
      <c r="A249" s="5" t="str">
        <f>HYPERLINK("http://www.patentics.cn/invokexml.do?sf=ShowPatent&amp;spn=US9144037&amp;sv=1b44d15f404b6823ede5c41f2168ed63","US9144037")</f>
        <v>US9144037</v>
      </c>
      <c r="B249" s="3" t="s">
        <v>934</v>
      </c>
      <c r="C249" s="3" t="s">
        <v>935</v>
      </c>
      <c r="D249" s="3" t="s">
        <v>52</v>
      </c>
      <c r="E249" s="3" t="s">
        <v>52</v>
      </c>
      <c r="F249" s="3" t="s">
        <v>936</v>
      </c>
      <c r="G249" s="3" t="s">
        <v>937</v>
      </c>
      <c r="H249" s="3" t="s">
        <v>938</v>
      </c>
      <c r="I249" s="3" t="s">
        <v>939</v>
      </c>
      <c r="J249" s="3" t="s">
        <v>240</v>
      </c>
      <c r="K249" s="3" t="s">
        <v>84</v>
      </c>
      <c r="L249" s="3" t="s">
        <v>163</v>
      </c>
      <c r="M249" s="3" t="s">
        <v>82</v>
      </c>
      <c r="N249" s="3" t="s">
        <v>940</v>
      </c>
      <c r="O249" s="3">
        <v>0</v>
      </c>
      <c r="P249" s="3">
        <v>15</v>
      </c>
      <c r="Q249" s="3" t="s">
        <v>60</v>
      </c>
      <c r="R249" s="3" t="s">
        <v>61</v>
      </c>
      <c r="S249" s="3">
        <v>276</v>
      </c>
      <c r="T249" s="3">
        <v>53</v>
      </c>
      <c r="U249" s="3">
        <v>223</v>
      </c>
      <c r="V249" s="3">
        <v>65</v>
      </c>
      <c r="W249" s="3">
        <v>0</v>
      </c>
      <c r="X249" s="3" t="s">
        <v>147</v>
      </c>
      <c r="Y249" s="3">
        <v>0</v>
      </c>
      <c r="Z249" s="3">
        <v>0</v>
      </c>
      <c r="AA249" s="3">
        <v>0</v>
      </c>
      <c r="AB249" s="3">
        <v>0</v>
      </c>
      <c r="AC249" s="3">
        <v>15</v>
      </c>
      <c r="AD249" s="3">
        <v>7</v>
      </c>
      <c r="AE249" s="3">
        <v>14</v>
      </c>
      <c r="AF249" s="3" t="s">
        <v>0</v>
      </c>
      <c r="AG249" s="3" t="s">
        <v>49</v>
      </c>
    </row>
    <row r="250" spans="1:33" ht="229.5" x14ac:dyDescent="0.2">
      <c r="A250" s="5" t="str">
        <f>HYPERLINK("http://www.patentics.cn/invokexml.do?sf=ShowPatent&amp;spn=US9226288&amp;sv=50d74d97714cc499dcdeeea75ddcc1b9","US9226288")</f>
        <v>US9226288</v>
      </c>
      <c r="B250" s="3" t="s">
        <v>941</v>
      </c>
      <c r="C250" s="3" t="s">
        <v>942</v>
      </c>
      <c r="D250" s="3" t="s">
        <v>52</v>
      </c>
      <c r="E250" s="3" t="s">
        <v>52</v>
      </c>
      <c r="F250" s="3" t="s">
        <v>943</v>
      </c>
      <c r="G250" s="3" t="s">
        <v>944</v>
      </c>
      <c r="H250" s="3" t="s">
        <v>931</v>
      </c>
      <c r="I250" s="3" t="s">
        <v>932</v>
      </c>
      <c r="J250" s="3" t="s">
        <v>294</v>
      </c>
      <c r="K250" s="3" t="s">
        <v>82</v>
      </c>
      <c r="L250" s="3" t="s">
        <v>83</v>
      </c>
      <c r="M250" s="3" t="s">
        <v>82</v>
      </c>
      <c r="N250" s="3" t="s">
        <v>945</v>
      </c>
      <c r="O250" s="3">
        <v>0</v>
      </c>
      <c r="P250" s="3">
        <v>15</v>
      </c>
      <c r="Q250" s="3" t="s">
        <v>60</v>
      </c>
      <c r="R250" s="3" t="s">
        <v>61</v>
      </c>
      <c r="S250" s="3">
        <v>278</v>
      </c>
      <c r="T250" s="3">
        <v>55</v>
      </c>
      <c r="U250" s="3">
        <v>223</v>
      </c>
      <c r="V250" s="3">
        <v>65</v>
      </c>
      <c r="W250" s="3">
        <v>0</v>
      </c>
      <c r="X250" s="3" t="s">
        <v>147</v>
      </c>
      <c r="Y250" s="3">
        <v>0</v>
      </c>
      <c r="Z250" s="3">
        <v>0</v>
      </c>
      <c r="AA250" s="3">
        <v>0</v>
      </c>
      <c r="AB250" s="3">
        <v>0</v>
      </c>
      <c r="AC250" s="3">
        <v>8</v>
      </c>
      <c r="AD250" s="3">
        <v>6</v>
      </c>
      <c r="AE250" s="3">
        <v>14</v>
      </c>
      <c r="AF250" s="3" t="s">
        <v>0</v>
      </c>
      <c r="AG250" s="3" t="s">
        <v>49</v>
      </c>
    </row>
    <row r="251" spans="1:33" ht="76.5" x14ac:dyDescent="0.2">
      <c r="A251" s="5" t="str">
        <f>HYPERLINK("http://www.patentics.cn/invokexml.do?sf=ShowPatent&amp;spn=US9271167&amp;sv=e401f5289229974ed8a94cd08f8a9054","US9271167")</f>
        <v>US9271167</v>
      </c>
      <c r="B251" s="3" t="s">
        <v>953</v>
      </c>
      <c r="C251" s="3" t="s">
        <v>954</v>
      </c>
      <c r="D251" s="3" t="s">
        <v>52</v>
      </c>
      <c r="E251" s="3" t="s">
        <v>52</v>
      </c>
      <c r="F251" s="3" t="s">
        <v>955</v>
      </c>
      <c r="G251" s="3" t="s">
        <v>956</v>
      </c>
      <c r="H251" s="3" t="s">
        <v>931</v>
      </c>
      <c r="I251" s="3" t="s">
        <v>957</v>
      </c>
      <c r="J251" s="3" t="s">
        <v>669</v>
      </c>
      <c r="K251" s="3" t="s">
        <v>82</v>
      </c>
      <c r="L251" s="3" t="s">
        <v>806</v>
      </c>
      <c r="M251" s="3" t="s">
        <v>82</v>
      </c>
      <c r="N251" s="3" t="s">
        <v>958</v>
      </c>
      <c r="O251" s="3">
        <v>0</v>
      </c>
      <c r="P251" s="3">
        <v>16</v>
      </c>
      <c r="Q251" s="3" t="s">
        <v>60</v>
      </c>
      <c r="R251" s="3" t="s">
        <v>61</v>
      </c>
      <c r="S251" s="3">
        <v>279</v>
      </c>
      <c r="T251" s="3">
        <v>55</v>
      </c>
      <c r="U251" s="3">
        <v>224</v>
      </c>
      <c r="V251" s="3">
        <v>65</v>
      </c>
      <c r="W251" s="3">
        <v>21</v>
      </c>
      <c r="X251" s="3" t="s">
        <v>108</v>
      </c>
      <c r="Y251" s="3">
        <v>0</v>
      </c>
      <c r="Z251" s="3">
        <v>21</v>
      </c>
      <c r="AA251" s="3">
        <v>1</v>
      </c>
      <c r="AB251" s="3">
        <v>2</v>
      </c>
      <c r="AC251" s="3">
        <v>20</v>
      </c>
      <c r="AD251" s="3">
        <v>13</v>
      </c>
      <c r="AE251" s="3">
        <v>14</v>
      </c>
      <c r="AF251" s="3" t="s">
        <v>0</v>
      </c>
      <c r="AG251" s="3" t="s">
        <v>49</v>
      </c>
    </row>
    <row r="252" spans="1:33" ht="76.5" x14ac:dyDescent="0.2">
      <c r="A252" s="5" t="str">
        <f>HYPERLINK("http://www.patentics.cn/invokexml.do?sf=ShowPatent&amp;spn=US9277566&amp;sv=1e06c5731d657aed16e04b24a7f25f6b","US9277566")</f>
        <v>US9277566</v>
      </c>
      <c r="B252" s="3" t="s">
        <v>959</v>
      </c>
      <c r="C252" s="3" t="s">
        <v>960</v>
      </c>
      <c r="D252" s="3" t="s">
        <v>52</v>
      </c>
      <c r="E252" s="3" t="s">
        <v>52</v>
      </c>
      <c r="F252" s="3" t="s">
        <v>961</v>
      </c>
      <c r="G252" s="3" t="s">
        <v>962</v>
      </c>
      <c r="H252" s="3" t="s">
        <v>963</v>
      </c>
      <c r="I252" s="3" t="s">
        <v>964</v>
      </c>
      <c r="J252" s="3" t="s">
        <v>965</v>
      </c>
      <c r="K252" s="3" t="s">
        <v>82</v>
      </c>
      <c r="L252" s="3" t="s">
        <v>83</v>
      </c>
      <c r="M252" s="3" t="s">
        <v>82</v>
      </c>
      <c r="N252" s="3" t="s">
        <v>966</v>
      </c>
      <c r="O252" s="3">
        <v>0</v>
      </c>
      <c r="P252" s="3">
        <v>10</v>
      </c>
      <c r="Q252" s="3" t="s">
        <v>60</v>
      </c>
      <c r="R252" s="3" t="s">
        <v>61</v>
      </c>
      <c r="S252" s="3">
        <v>279</v>
      </c>
      <c r="T252" s="3">
        <v>56</v>
      </c>
      <c r="U252" s="3">
        <v>223</v>
      </c>
      <c r="V252" s="3">
        <v>65</v>
      </c>
      <c r="W252" s="3">
        <v>0</v>
      </c>
      <c r="X252" s="3" t="s">
        <v>147</v>
      </c>
      <c r="Y252" s="3">
        <v>0</v>
      </c>
      <c r="Z252" s="3">
        <v>0</v>
      </c>
      <c r="AA252" s="3">
        <v>0</v>
      </c>
      <c r="AB252" s="3">
        <v>0</v>
      </c>
      <c r="AC252" s="3">
        <v>11</v>
      </c>
      <c r="AD252" s="3">
        <v>7</v>
      </c>
      <c r="AE252" s="3">
        <v>14</v>
      </c>
      <c r="AF252" s="3" t="s">
        <v>0</v>
      </c>
      <c r="AG252" s="3" t="s">
        <v>49</v>
      </c>
    </row>
    <row r="253" spans="1:33" ht="89.25" x14ac:dyDescent="0.2">
      <c r="A253" s="5" t="str">
        <f>HYPERLINK("http://www.patentics.cn/invokexml.do?sf=ShowPatent&amp;spn=US9281932&amp;sv=588db6af75c155f9b117f0850b28fd3c","US9281932")</f>
        <v>US9281932</v>
      </c>
      <c r="B253" s="3" t="s">
        <v>967</v>
      </c>
      <c r="C253" s="3" t="s">
        <v>914</v>
      </c>
      <c r="D253" s="3" t="s">
        <v>52</v>
      </c>
      <c r="E253" s="3" t="s">
        <v>52</v>
      </c>
      <c r="F253" s="3" t="s">
        <v>915</v>
      </c>
      <c r="G253" s="3" t="s">
        <v>454</v>
      </c>
      <c r="H253" s="3" t="s">
        <v>916</v>
      </c>
      <c r="I253" s="3" t="s">
        <v>968</v>
      </c>
      <c r="J253" s="3" t="s">
        <v>683</v>
      </c>
      <c r="K253" s="3" t="s">
        <v>82</v>
      </c>
      <c r="L253" s="3" t="s">
        <v>244</v>
      </c>
      <c r="M253" s="3" t="s">
        <v>58</v>
      </c>
      <c r="N253" s="3" t="s">
        <v>969</v>
      </c>
      <c r="O253" s="3">
        <v>0</v>
      </c>
      <c r="P253" s="3">
        <v>16</v>
      </c>
      <c r="Q253" s="3" t="s">
        <v>60</v>
      </c>
      <c r="R253" s="3" t="s">
        <v>61</v>
      </c>
      <c r="S253" s="3">
        <v>276</v>
      </c>
      <c r="T253" s="3">
        <v>54</v>
      </c>
      <c r="U253" s="3">
        <v>222</v>
      </c>
      <c r="V253" s="3">
        <v>64</v>
      </c>
      <c r="W253" s="3">
        <v>14</v>
      </c>
      <c r="X253" s="3" t="s">
        <v>147</v>
      </c>
      <c r="Y253" s="3">
        <v>0</v>
      </c>
      <c r="Z253" s="3">
        <v>14</v>
      </c>
      <c r="AA253" s="3">
        <v>0</v>
      </c>
      <c r="AB253" s="3">
        <v>1</v>
      </c>
      <c r="AC253" s="3">
        <v>26</v>
      </c>
      <c r="AD253" s="3">
        <v>12</v>
      </c>
      <c r="AE253" s="3">
        <v>14</v>
      </c>
      <c r="AF253" s="3" t="s">
        <v>0</v>
      </c>
      <c r="AG253" s="3" t="s">
        <v>49</v>
      </c>
    </row>
    <row r="254" spans="1:33" ht="140.25" x14ac:dyDescent="0.2">
      <c r="A254" s="5" t="str">
        <f>HYPERLINK("http://www.patentics.cn/invokexml.do?sf=ShowPatent&amp;spn=US9282472&amp;sv=12573b5a134f751a53fd2109d243d1ed","US9282472")</f>
        <v>US9282472</v>
      </c>
      <c r="B254" s="3" t="s">
        <v>970</v>
      </c>
      <c r="C254" s="3" t="s">
        <v>971</v>
      </c>
      <c r="D254" s="3" t="s">
        <v>52</v>
      </c>
      <c r="E254" s="3" t="s">
        <v>52</v>
      </c>
      <c r="F254" s="3" t="s">
        <v>930</v>
      </c>
      <c r="G254" s="3" t="s">
        <v>78</v>
      </c>
      <c r="H254" s="3" t="s">
        <v>931</v>
      </c>
      <c r="I254" s="3" t="s">
        <v>972</v>
      </c>
      <c r="J254" s="3" t="s">
        <v>683</v>
      </c>
      <c r="K254" s="3" t="s">
        <v>82</v>
      </c>
      <c r="L254" s="3" t="s">
        <v>226</v>
      </c>
      <c r="M254" s="3" t="s">
        <v>82</v>
      </c>
      <c r="N254" s="3" t="s">
        <v>958</v>
      </c>
      <c r="O254" s="3">
        <v>0</v>
      </c>
      <c r="P254" s="3">
        <v>10</v>
      </c>
      <c r="Q254" s="3" t="s">
        <v>60</v>
      </c>
      <c r="R254" s="3" t="s">
        <v>61</v>
      </c>
      <c r="S254" s="3">
        <v>286</v>
      </c>
      <c r="T254" s="3">
        <v>62</v>
      </c>
      <c r="U254" s="3">
        <v>224</v>
      </c>
      <c r="V254" s="3">
        <v>65</v>
      </c>
      <c r="W254" s="3">
        <v>6</v>
      </c>
      <c r="X254" s="3" t="s">
        <v>147</v>
      </c>
      <c r="Y254" s="3">
        <v>0</v>
      </c>
      <c r="Z254" s="3">
        <v>6</v>
      </c>
      <c r="AA254" s="3">
        <v>0</v>
      </c>
      <c r="AB254" s="3">
        <v>1</v>
      </c>
      <c r="AC254" s="3">
        <v>22</v>
      </c>
      <c r="AD254" s="3">
        <v>11</v>
      </c>
      <c r="AE254" s="3">
        <v>14</v>
      </c>
      <c r="AF254" s="3" t="s">
        <v>0</v>
      </c>
      <c r="AG254" s="3" t="s">
        <v>49</v>
      </c>
    </row>
    <row r="255" spans="1:33" ht="255" x14ac:dyDescent="0.2">
      <c r="A255" s="5" t="str">
        <f>HYPERLINK("http://www.patentics.cn/invokexml.do?sf=ShowPatent&amp;spn=US9392608&amp;sv=08c237f9c4d3167556ddb89b7357ba3e","US9392608")</f>
        <v>US9392608</v>
      </c>
      <c r="B255" s="3" t="s">
        <v>973</v>
      </c>
      <c r="C255" s="3" t="s">
        <v>974</v>
      </c>
      <c r="D255" s="3" t="s">
        <v>52</v>
      </c>
      <c r="E255" s="3" t="s">
        <v>52</v>
      </c>
      <c r="F255" s="3" t="s">
        <v>975</v>
      </c>
      <c r="G255" s="3" t="s">
        <v>956</v>
      </c>
      <c r="H255" s="3" t="s">
        <v>931</v>
      </c>
      <c r="I255" s="3" t="s">
        <v>932</v>
      </c>
      <c r="J255" s="3" t="s">
        <v>976</v>
      </c>
      <c r="K255" s="3" t="s">
        <v>82</v>
      </c>
      <c r="L255" s="3" t="s">
        <v>226</v>
      </c>
      <c r="M255" s="3" t="s">
        <v>82</v>
      </c>
      <c r="N255" s="3" t="s">
        <v>977</v>
      </c>
      <c r="O255" s="3">
        <v>0</v>
      </c>
      <c r="P255" s="3">
        <v>15</v>
      </c>
      <c r="Q255" s="3" t="s">
        <v>60</v>
      </c>
      <c r="R255" s="3" t="s">
        <v>61</v>
      </c>
      <c r="S255" s="3">
        <v>285</v>
      </c>
      <c r="T255" s="3">
        <v>55</v>
      </c>
      <c r="U255" s="3">
        <v>230</v>
      </c>
      <c r="V255" s="3">
        <v>66</v>
      </c>
      <c r="W255" s="3">
        <v>0</v>
      </c>
      <c r="X255" s="3" t="s">
        <v>147</v>
      </c>
      <c r="Y255" s="3">
        <v>0</v>
      </c>
      <c r="Z255" s="3">
        <v>0</v>
      </c>
      <c r="AA255" s="3">
        <v>0</v>
      </c>
      <c r="AB255" s="3">
        <v>0</v>
      </c>
      <c r="AC255" s="3">
        <v>16</v>
      </c>
      <c r="AD255" s="3">
        <v>10</v>
      </c>
      <c r="AE255" s="3">
        <v>14</v>
      </c>
      <c r="AF255" s="3" t="s">
        <v>0</v>
      </c>
      <c r="AG255" s="3" t="s">
        <v>49</v>
      </c>
    </row>
    <row r="256" spans="1:33" ht="38.25" x14ac:dyDescent="0.2">
      <c r="A256" s="4" t="str">
        <f>HYPERLINK("http://www.patentics.cn/invokexml.do?sf=ShowPatent&amp;spn=US20100246521&amp;sv=f92269bd96e8c3c5f17f46a2da60486a","US20100246521")</f>
        <v>US20100246521</v>
      </c>
      <c r="B256" s="2" t="s">
        <v>1201</v>
      </c>
      <c r="C256" s="2" t="s">
        <v>1202</v>
      </c>
      <c r="D256" s="2" t="s">
        <v>346</v>
      </c>
      <c r="E256" s="2" t="s">
        <v>346</v>
      </c>
      <c r="F256" s="2" t="s">
        <v>1203</v>
      </c>
      <c r="G256" s="2" t="s">
        <v>1204</v>
      </c>
      <c r="H256" s="2" t="s">
        <v>1167</v>
      </c>
      <c r="I256" s="2" t="s">
        <v>1168</v>
      </c>
      <c r="J256" s="2" t="s">
        <v>1205</v>
      </c>
      <c r="K256" s="2" t="s">
        <v>82</v>
      </c>
      <c r="L256" s="2" t="s">
        <v>244</v>
      </c>
      <c r="M256" s="2" t="s">
        <v>58</v>
      </c>
      <c r="N256" s="2" t="s">
        <v>103</v>
      </c>
      <c r="O256" s="2">
        <v>19</v>
      </c>
      <c r="P256" s="2">
        <v>13</v>
      </c>
      <c r="Q256" s="2" t="s">
        <v>352</v>
      </c>
      <c r="R256" s="2" t="s">
        <v>47</v>
      </c>
      <c r="S256" s="2">
        <v>0</v>
      </c>
      <c r="T256" s="2">
        <v>0</v>
      </c>
      <c r="U256" s="2">
        <v>0</v>
      </c>
      <c r="V256" s="2">
        <v>0</v>
      </c>
      <c r="W256" s="2">
        <v>21</v>
      </c>
      <c r="X256" s="2" t="s">
        <v>1206</v>
      </c>
      <c r="Y256" s="2">
        <v>0</v>
      </c>
      <c r="Z256" s="2">
        <v>21</v>
      </c>
      <c r="AA256" s="2">
        <v>2</v>
      </c>
      <c r="AB256" s="2">
        <v>2</v>
      </c>
      <c r="AC256" s="2">
        <v>14</v>
      </c>
      <c r="AD256" s="2">
        <v>7</v>
      </c>
      <c r="AE256" s="2" t="s">
        <v>0</v>
      </c>
      <c r="AF256" s="2">
        <v>13</v>
      </c>
      <c r="AG256" s="2" t="s">
        <v>49</v>
      </c>
    </row>
    <row r="257" spans="1:33" ht="63.75" x14ac:dyDescent="0.2">
      <c r="A257" s="5" t="str">
        <f>HYPERLINK("http://www.patentics.cn/invokexml.do?sf=ShowPatent&amp;spn=US8638131&amp;sv=39265516102f7abba38053998061543f","US8638131")</f>
        <v>US8638131</v>
      </c>
      <c r="B257" s="3" t="s">
        <v>887</v>
      </c>
      <c r="C257" s="3" t="s">
        <v>888</v>
      </c>
      <c r="D257" s="3" t="s">
        <v>52</v>
      </c>
      <c r="E257" s="3" t="s">
        <v>52</v>
      </c>
      <c r="F257" s="3" t="s">
        <v>889</v>
      </c>
      <c r="G257" s="3" t="s">
        <v>890</v>
      </c>
      <c r="H257" s="3" t="s">
        <v>891</v>
      </c>
      <c r="I257" s="3" t="s">
        <v>891</v>
      </c>
      <c r="J257" s="3" t="s">
        <v>892</v>
      </c>
      <c r="K257" s="3" t="s">
        <v>893</v>
      </c>
      <c r="L257" s="3" t="s">
        <v>894</v>
      </c>
      <c r="M257" s="3" t="s">
        <v>893</v>
      </c>
      <c r="N257" s="3" t="s">
        <v>895</v>
      </c>
      <c r="O257" s="3">
        <v>0</v>
      </c>
      <c r="P257" s="3">
        <v>13</v>
      </c>
      <c r="Q257" s="3" t="s">
        <v>60</v>
      </c>
      <c r="R257" s="3" t="s">
        <v>61</v>
      </c>
      <c r="S257" s="3">
        <v>178</v>
      </c>
      <c r="T257" s="3">
        <v>42</v>
      </c>
      <c r="U257" s="3">
        <v>136</v>
      </c>
      <c r="V257" s="3">
        <v>52</v>
      </c>
      <c r="W257" s="3">
        <v>4</v>
      </c>
      <c r="X257" s="3" t="s">
        <v>896</v>
      </c>
      <c r="Y257" s="3">
        <v>2</v>
      </c>
      <c r="Z257" s="3">
        <v>2</v>
      </c>
      <c r="AA257" s="3">
        <v>3</v>
      </c>
      <c r="AB257" s="3">
        <v>1</v>
      </c>
      <c r="AC257" s="3">
        <v>3</v>
      </c>
      <c r="AD257" s="3">
        <v>2</v>
      </c>
      <c r="AE257" s="3">
        <v>14</v>
      </c>
      <c r="AF257" s="3" t="s">
        <v>0</v>
      </c>
      <c r="AG257" s="3" t="s">
        <v>49</v>
      </c>
    </row>
    <row r="258" spans="1:33" ht="63.75" x14ac:dyDescent="0.2">
      <c r="A258" s="5" t="str">
        <f>HYPERLINK("http://www.patentics.cn/invokexml.do?sf=ShowPatent&amp;spn=US8724563&amp;sv=06b4d914a8390abe11a621880ea34bde","US8724563")</f>
        <v>US8724563</v>
      </c>
      <c r="B258" s="3" t="s">
        <v>897</v>
      </c>
      <c r="C258" s="3" t="s">
        <v>898</v>
      </c>
      <c r="D258" s="3" t="s">
        <v>52</v>
      </c>
      <c r="E258" s="3" t="s">
        <v>52</v>
      </c>
      <c r="F258" s="3" t="s">
        <v>899</v>
      </c>
      <c r="G258" s="3" t="s">
        <v>900</v>
      </c>
      <c r="H258" s="3" t="s">
        <v>901</v>
      </c>
      <c r="I258" s="3" t="s">
        <v>902</v>
      </c>
      <c r="J258" s="3" t="s">
        <v>903</v>
      </c>
      <c r="K258" s="3" t="s">
        <v>82</v>
      </c>
      <c r="L258" s="3" t="s">
        <v>83</v>
      </c>
      <c r="M258" s="3" t="s">
        <v>58</v>
      </c>
      <c r="N258" s="3" t="s">
        <v>904</v>
      </c>
      <c r="O258" s="3">
        <v>0</v>
      </c>
      <c r="P258" s="3">
        <v>11</v>
      </c>
      <c r="Q258" s="3" t="s">
        <v>60</v>
      </c>
      <c r="R258" s="3" t="s">
        <v>61</v>
      </c>
      <c r="S258" s="3">
        <v>181</v>
      </c>
      <c r="T258" s="3">
        <v>42</v>
      </c>
      <c r="U258" s="3">
        <v>139</v>
      </c>
      <c r="V258" s="3">
        <v>54</v>
      </c>
      <c r="W258" s="3">
        <v>4</v>
      </c>
      <c r="X258" s="3" t="s">
        <v>905</v>
      </c>
      <c r="Y258" s="3">
        <v>3</v>
      </c>
      <c r="Z258" s="3">
        <v>1</v>
      </c>
      <c r="AA258" s="3">
        <v>2</v>
      </c>
      <c r="AB258" s="3">
        <v>1</v>
      </c>
      <c r="AC258" s="3">
        <v>21</v>
      </c>
      <c r="AD258" s="3">
        <v>7</v>
      </c>
      <c r="AE258" s="3">
        <v>14</v>
      </c>
      <c r="AF258" s="3" t="s">
        <v>0</v>
      </c>
      <c r="AG258" s="3" t="s">
        <v>49</v>
      </c>
    </row>
    <row r="259" spans="1:33" ht="76.5" x14ac:dyDescent="0.2">
      <c r="A259" s="5" t="str">
        <f>HYPERLINK("http://www.patentics.cn/invokexml.do?sf=ShowPatent&amp;spn=US8886190&amp;sv=accdd99c2216fc98d326216297465038","US8886190")</f>
        <v>US8886190</v>
      </c>
      <c r="B259" s="3" t="s">
        <v>906</v>
      </c>
      <c r="C259" s="3" t="s">
        <v>907</v>
      </c>
      <c r="D259" s="3" t="s">
        <v>52</v>
      </c>
      <c r="E259" s="3" t="s">
        <v>52</v>
      </c>
      <c r="F259" s="3" t="s">
        <v>908</v>
      </c>
      <c r="G259" s="3" t="s">
        <v>454</v>
      </c>
      <c r="H259" s="3" t="s">
        <v>909</v>
      </c>
      <c r="I259" s="3" t="s">
        <v>910</v>
      </c>
      <c r="J259" s="3" t="s">
        <v>196</v>
      </c>
      <c r="K259" s="3" t="s">
        <v>82</v>
      </c>
      <c r="L259" s="3" t="s">
        <v>911</v>
      </c>
      <c r="M259" s="3" t="s">
        <v>82</v>
      </c>
      <c r="N259" s="3" t="s">
        <v>799</v>
      </c>
      <c r="O259" s="3">
        <v>0</v>
      </c>
      <c r="P259" s="3">
        <v>10</v>
      </c>
      <c r="Q259" s="3" t="s">
        <v>60</v>
      </c>
      <c r="R259" s="3" t="s">
        <v>61</v>
      </c>
      <c r="S259" s="3">
        <v>235</v>
      </c>
      <c r="T259" s="3">
        <v>51</v>
      </c>
      <c r="U259" s="3">
        <v>184</v>
      </c>
      <c r="V259" s="3">
        <v>63</v>
      </c>
      <c r="W259" s="3">
        <v>4</v>
      </c>
      <c r="X259" s="3" t="s">
        <v>912</v>
      </c>
      <c r="Y259" s="3">
        <v>3</v>
      </c>
      <c r="Z259" s="3">
        <v>1</v>
      </c>
      <c r="AA259" s="3">
        <v>2</v>
      </c>
      <c r="AB259" s="3">
        <v>1</v>
      </c>
      <c r="AC259" s="3">
        <v>7</v>
      </c>
      <c r="AD259" s="3">
        <v>6</v>
      </c>
      <c r="AE259" s="3">
        <v>14</v>
      </c>
      <c r="AF259" s="3" t="s">
        <v>0</v>
      </c>
      <c r="AG259" s="3" t="s">
        <v>49</v>
      </c>
    </row>
    <row r="260" spans="1:33" ht="89.25" x14ac:dyDescent="0.2">
      <c r="A260" s="5" t="str">
        <f>HYPERLINK("http://www.patentics.cn/invokexml.do?sf=ShowPatent&amp;spn=US8942192&amp;sv=87109fc2ff2f4e42f1db86db68428e2e","US8942192")</f>
        <v>US8942192</v>
      </c>
      <c r="B260" s="3" t="s">
        <v>913</v>
      </c>
      <c r="C260" s="3" t="s">
        <v>914</v>
      </c>
      <c r="D260" s="3" t="s">
        <v>52</v>
      </c>
      <c r="E260" s="3" t="s">
        <v>52</v>
      </c>
      <c r="F260" s="3" t="s">
        <v>915</v>
      </c>
      <c r="G260" s="3" t="s">
        <v>454</v>
      </c>
      <c r="H260" s="3" t="s">
        <v>916</v>
      </c>
      <c r="I260" s="3" t="s">
        <v>917</v>
      </c>
      <c r="J260" s="3" t="s">
        <v>918</v>
      </c>
      <c r="K260" s="3" t="s">
        <v>82</v>
      </c>
      <c r="L260" s="3" t="s">
        <v>244</v>
      </c>
      <c r="M260" s="3" t="s">
        <v>82</v>
      </c>
      <c r="N260" s="3" t="s">
        <v>919</v>
      </c>
      <c r="O260" s="3">
        <v>0</v>
      </c>
      <c r="P260" s="3">
        <v>18</v>
      </c>
      <c r="Q260" s="3" t="s">
        <v>60</v>
      </c>
      <c r="R260" s="3" t="s">
        <v>61</v>
      </c>
      <c r="S260" s="3">
        <v>248</v>
      </c>
      <c r="T260" s="3">
        <v>52</v>
      </c>
      <c r="U260" s="3">
        <v>196</v>
      </c>
      <c r="V260" s="3">
        <v>64</v>
      </c>
      <c r="W260" s="3">
        <v>17</v>
      </c>
      <c r="X260" s="3" t="s">
        <v>920</v>
      </c>
      <c r="Y260" s="3">
        <v>1</v>
      </c>
      <c r="Z260" s="3">
        <v>16</v>
      </c>
      <c r="AA260" s="3">
        <v>3</v>
      </c>
      <c r="AB260" s="3">
        <v>2</v>
      </c>
      <c r="AC260" s="3">
        <v>26</v>
      </c>
      <c r="AD260" s="3">
        <v>12</v>
      </c>
      <c r="AE260" s="3">
        <v>14</v>
      </c>
      <c r="AF260" s="3" t="s">
        <v>0</v>
      </c>
      <c r="AG260" s="3" t="s">
        <v>49</v>
      </c>
    </row>
    <row r="261" spans="1:33" ht="76.5" x14ac:dyDescent="0.2">
      <c r="A261" s="5" t="str">
        <f>HYPERLINK("http://www.patentics.cn/invokexml.do?sf=ShowPatent&amp;spn=US9106378&amp;sv=109dca1a95e0286c0676843dc271f0e5","US9106378")</f>
        <v>US9106378</v>
      </c>
      <c r="B261" s="3" t="s">
        <v>921</v>
      </c>
      <c r="C261" s="3" t="s">
        <v>922</v>
      </c>
      <c r="D261" s="3" t="s">
        <v>52</v>
      </c>
      <c r="E261" s="3" t="s">
        <v>52</v>
      </c>
      <c r="F261" s="3" t="s">
        <v>923</v>
      </c>
      <c r="G261" s="3" t="s">
        <v>924</v>
      </c>
      <c r="H261" s="3" t="s">
        <v>925</v>
      </c>
      <c r="I261" s="3" t="s">
        <v>926</v>
      </c>
      <c r="J261" s="3" t="s">
        <v>927</v>
      </c>
      <c r="K261" s="3" t="s">
        <v>82</v>
      </c>
      <c r="L261" s="3" t="s">
        <v>226</v>
      </c>
      <c r="M261" s="3" t="s">
        <v>0</v>
      </c>
      <c r="N261" s="3" t="s">
        <v>0</v>
      </c>
      <c r="O261" s="3">
        <v>0</v>
      </c>
      <c r="P261" s="3">
        <v>17</v>
      </c>
      <c r="Q261" s="3" t="s">
        <v>60</v>
      </c>
      <c r="R261" s="3" t="s">
        <v>61</v>
      </c>
      <c r="S261" s="3">
        <v>262</v>
      </c>
      <c r="T261" s="3">
        <v>53</v>
      </c>
      <c r="U261" s="3">
        <v>209</v>
      </c>
      <c r="V261" s="3">
        <v>65</v>
      </c>
      <c r="W261" s="3">
        <v>0</v>
      </c>
      <c r="X261" s="3" t="s">
        <v>147</v>
      </c>
      <c r="Y261" s="3">
        <v>0</v>
      </c>
      <c r="Z261" s="3">
        <v>0</v>
      </c>
      <c r="AA261" s="3">
        <v>0</v>
      </c>
      <c r="AB261" s="3">
        <v>0</v>
      </c>
      <c r="AC261" s="3">
        <v>13</v>
      </c>
      <c r="AD261" s="3">
        <v>7</v>
      </c>
      <c r="AE261" s="3">
        <v>14</v>
      </c>
      <c r="AF261" s="3" t="s">
        <v>0</v>
      </c>
      <c r="AG261" s="3" t="s">
        <v>49</v>
      </c>
    </row>
    <row r="262" spans="1:33" ht="140.25" x14ac:dyDescent="0.2">
      <c r="A262" s="5" t="str">
        <f>HYPERLINK("http://www.patentics.cn/invokexml.do?sf=ShowPatent&amp;spn=US9125072&amp;sv=0a35516ca99592a4263a31d9700485cf","US9125072")</f>
        <v>US9125072</v>
      </c>
      <c r="B262" s="3" t="s">
        <v>928</v>
      </c>
      <c r="C262" s="3" t="s">
        <v>929</v>
      </c>
      <c r="D262" s="3" t="s">
        <v>52</v>
      </c>
      <c r="E262" s="3" t="s">
        <v>52</v>
      </c>
      <c r="F262" s="3" t="s">
        <v>930</v>
      </c>
      <c r="G262" s="3" t="s">
        <v>78</v>
      </c>
      <c r="H262" s="3" t="s">
        <v>931</v>
      </c>
      <c r="I262" s="3" t="s">
        <v>932</v>
      </c>
      <c r="J262" s="3" t="s">
        <v>816</v>
      </c>
      <c r="K262" s="3" t="s">
        <v>82</v>
      </c>
      <c r="L262" s="3" t="s">
        <v>226</v>
      </c>
      <c r="M262" s="3" t="s">
        <v>0</v>
      </c>
      <c r="N262" s="3" t="s">
        <v>0</v>
      </c>
      <c r="O262" s="3">
        <v>0</v>
      </c>
      <c r="P262" s="3">
        <v>11</v>
      </c>
      <c r="Q262" s="3" t="s">
        <v>60</v>
      </c>
      <c r="R262" s="3" t="s">
        <v>61</v>
      </c>
      <c r="S262" s="3">
        <v>274</v>
      </c>
      <c r="T262" s="3">
        <v>55</v>
      </c>
      <c r="U262" s="3">
        <v>219</v>
      </c>
      <c r="V262" s="3">
        <v>64</v>
      </c>
      <c r="W262" s="3">
        <v>8</v>
      </c>
      <c r="X262" s="3" t="s">
        <v>933</v>
      </c>
      <c r="Y262" s="3">
        <v>1</v>
      </c>
      <c r="Z262" s="3">
        <v>7</v>
      </c>
      <c r="AA262" s="3">
        <v>2</v>
      </c>
      <c r="AB262" s="3">
        <v>2</v>
      </c>
      <c r="AC262" s="3">
        <v>22</v>
      </c>
      <c r="AD262" s="3">
        <v>11</v>
      </c>
      <c r="AE262" s="3">
        <v>14</v>
      </c>
      <c r="AF262" s="3" t="s">
        <v>0</v>
      </c>
      <c r="AG262" s="3" t="s">
        <v>49</v>
      </c>
    </row>
    <row r="263" spans="1:33" ht="102" x14ac:dyDescent="0.2">
      <c r="A263" s="5" t="str">
        <f>HYPERLINK("http://www.patentics.cn/invokexml.do?sf=ShowPatent&amp;spn=US9144037&amp;sv=1b44d15f404b6823ede5c41f2168ed63","US9144037")</f>
        <v>US9144037</v>
      </c>
      <c r="B263" s="3" t="s">
        <v>934</v>
      </c>
      <c r="C263" s="3" t="s">
        <v>935</v>
      </c>
      <c r="D263" s="3" t="s">
        <v>52</v>
      </c>
      <c r="E263" s="3" t="s">
        <v>52</v>
      </c>
      <c r="F263" s="3" t="s">
        <v>936</v>
      </c>
      <c r="G263" s="3" t="s">
        <v>937</v>
      </c>
      <c r="H263" s="3" t="s">
        <v>938</v>
      </c>
      <c r="I263" s="3" t="s">
        <v>939</v>
      </c>
      <c r="J263" s="3" t="s">
        <v>240</v>
      </c>
      <c r="K263" s="3" t="s">
        <v>84</v>
      </c>
      <c r="L263" s="3" t="s">
        <v>163</v>
      </c>
      <c r="M263" s="3" t="s">
        <v>82</v>
      </c>
      <c r="N263" s="3" t="s">
        <v>940</v>
      </c>
      <c r="O263" s="3">
        <v>0</v>
      </c>
      <c r="P263" s="3">
        <v>15</v>
      </c>
      <c r="Q263" s="3" t="s">
        <v>60</v>
      </c>
      <c r="R263" s="3" t="s">
        <v>61</v>
      </c>
      <c r="S263" s="3">
        <v>276</v>
      </c>
      <c r="T263" s="3">
        <v>53</v>
      </c>
      <c r="U263" s="3">
        <v>223</v>
      </c>
      <c r="V263" s="3">
        <v>65</v>
      </c>
      <c r="W263" s="3">
        <v>0</v>
      </c>
      <c r="X263" s="3" t="s">
        <v>147</v>
      </c>
      <c r="Y263" s="3">
        <v>0</v>
      </c>
      <c r="Z263" s="3">
        <v>0</v>
      </c>
      <c r="AA263" s="3">
        <v>0</v>
      </c>
      <c r="AB263" s="3">
        <v>0</v>
      </c>
      <c r="AC263" s="3">
        <v>15</v>
      </c>
      <c r="AD263" s="3">
        <v>7</v>
      </c>
      <c r="AE263" s="3">
        <v>14</v>
      </c>
      <c r="AF263" s="3" t="s">
        <v>0</v>
      </c>
      <c r="AG263" s="3" t="s">
        <v>49</v>
      </c>
    </row>
    <row r="264" spans="1:33" ht="229.5" x14ac:dyDescent="0.2">
      <c r="A264" s="5" t="str">
        <f>HYPERLINK("http://www.patentics.cn/invokexml.do?sf=ShowPatent&amp;spn=US9226288&amp;sv=50d74d97714cc499dcdeeea75ddcc1b9","US9226288")</f>
        <v>US9226288</v>
      </c>
      <c r="B264" s="3" t="s">
        <v>941</v>
      </c>
      <c r="C264" s="3" t="s">
        <v>942</v>
      </c>
      <c r="D264" s="3" t="s">
        <v>52</v>
      </c>
      <c r="E264" s="3" t="s">
        <v>52</v>
      </c>
      <c r="F264" s="3" t="s">
        <v>943</v>
      </c>
      <c r="G264" s="3" t="s">
        <v>944</v>
      </c>
      <c r="H264" s="3" t="s">
        <v>931</v>
      </c>
      <c r="I264" s="3" t="s">
        <v>932</v>
      </c>
      <c r="J264" s="3" t="s">
        <v>294</v>
      </c>
      <c r="K264" s="3" t="s">
        <v>82</v>
      </c>
      <c r="L264" s="3" t="s">
        <v>83</v>
      </c>
      <c r="M264" s="3" t="s">
        <v>82</v>
      </c>
      <c r="N264" s="3" t="s">
        <v>945</v>
      </c>
      <c r="O264" s="3">
        <v>0</v>
      </c>
      <c r="P264" s="3">
        <v>15</v>
      </c>
      <c r="Q264" s="3" t="s">
        <v>60</v>
      </c>
      <c r="R264" s="3" t="s">
        <v>61</v>
      </c>
      <c r="S264" s="3">
        <v>278</v>
      </c>
      <c r="T264" s="3">
        <v>55</v>
      </c>
      <c r="U264" s="3">
        <v>223</v>
      </c>
      <c r="V264" s="3">
        <v>65</v>
      </c>
      <c r="W264" s="3">
        <v>0</v>
      </c>
      <c r="X264" s="3" t="s">
        <v>147</v>
      </c>
      <c r="Y264" s="3">
        <v>0</v>
      </c>
      <c r="Z264" s="3">
        <v>0</v>
      </c>
      <c r="AA264" s="3">
        <v>0</v>
      </c>
      <c r="AB264" s="3">
        <v>0</v>
      </c>
      <c r="AC264" s="3">
        <v>8</v>
      </c>
      <c r="AD264" s="3">
        <v>6</v>
      </c>
      <c r="AE264" s="3">
        <v>14</v>
      </c>
      <c r="AF264" s="3" t="s">
        <v>0</v>
      </c>
      <c r="AG264" s="3" t="s">
        <v>49</v>
      </c>
    </row>
    <row r="265" spans="1:33" ht="76.5" x14ac:dyDescent="0.2">
      <c r="A265" s="5" t="str">
        <f>HYPERLINK("http://www.patentics.cn/invokexml.do?sf=ShowPatent&amp;spn=US9271167&amp;sv=e401f5289229974ed8a94cd08f8a9054","US9271167")</f>
        <v>US9271167</v>
      </c>
      <c r="B265" s="3" t="s">
        <v>953</v>
      </c>
      <c r="C265" s="3" t="s">
        <v>954</v>
      </c>
      <c r="D265" s="3" t="s">
        <v>52</v>
      </c>
      <c r="E265" s="3" t="s">
        <v>52</v>
      </c>
      <c r="F265" s="3" t="s">
        <v>955</v>
      </c>
      <c r="G265" s="3" t="s">
        <v>956</v>
      </c>
      <c r="H265" s="3" t="s">
        <v>931</v>
      </c>
      <c r="I265" s="3" t="s">
        <v>957</v>
      </c>
      <c r="J265" s="3" t="s">
        <v>669</v>
      </c>
      <c r="K265" s="3" t="s">
        <v>82</v>
      </c>
      <c r="L265" s="3" t="s">
        <v>806</v>
      </c>
      <c r="M265" s="3" t="s">
        <v>82</v>
      </c>
      <c r="N265" s="3" t="s">
        <v>958</v>
      </c>
      <c r="O265" s="3">
        <v>0</v>
      </c>
      <c r="P265" s="3">
        <v>16</v>
      </c>
      <c r="Q265" s="3" t="s">
        <v>60</v>
      </c>
      <c r="R265" s="3" t="s">
        <v>61</v>
      </c>
      <c r="S265" s="3">
        <v>279</v>
      </c>
      <c r="T265" s="3">
        <v>55</v>
      </c>
      <c r="U265" s="3">
        <v>224</v>
      </c>
      <c r="V265" s="3">
        <v>65</v>
      </c>
      <c r="W265" s="3">
        <v>21</v>
      </c>
      <c r="X265" s="3" t="s">
        <v>108</v>
      </c>
      <c r="Y265" s="3">
        <v>0</v>
      </c>
      <c r="Z265" s="3">
        <v>21</v>
      </c>
      <c r="AA265" s="3">
        <v>1</v>
      </c>
      <c r="AB265" s="3">
        <v>2</v>
      </c>
      <c r="AC265" s="3">
        <v>20</v>
      </c>
      <c r="AD265" s="3">
        <v>13</v>
      </c>
      <c r="AE265" s="3">
        <v>14</v>
      </c>
      <c r="AF265" s="3" t="s">
        <v>0</v>
      </c>
      <c r="AG265" s="3" t="s">
        <v>49</v>
      </c>
    </row>
    <row r="266" spans="1:33" ht="76.5" x14ac:dyDescent="0.2">
      <c r="A266" s="5" t="str">
        <f>HYPERLINK("http://www.patentics.cn/invokexml.do?sf=ShowPatent&amp;spn=US9277566&amp;sv=1e06c5731d657aed16e04b24a7f25f6b","US9277566")</f>
        <v>US9277566</v>
      </c>
      <c r="B266" s="3" t="s">
        <v>959</v>
      </c>
      <c r="C266" s="3" t="s">
        <v>960</v>
      </c>
      <c r="D266" s="3" t="s">
        <v>52</v>
      </c>
      <c r="E266" s="3" t="s">
        <v>52</v>
      </c>
      <c r="F266" s="3" t="s">
        <v>961</v>
      </c>
      <c r="G266" s="3" t="s">
        <v>962</v>
      </c>
      <c r="H266" s="3" t="s">
        <v>963</v>
      </c>
      <c r="I266" s="3" t="s">
        <v>964</v>
      </c>
      <c r="J266" s="3" t="s">
        <v>965</v>
      </c>
      <c r="K266" s="3" t="s">
        <v>82</v>
      </c>
      <c r="L266" s="3" t="s">
        <v>83</v>
      </c>
      <c r="M266" s="3" t="s">
        <v>82</v>
      </c>
      <c r="N266" s="3" t="s">
        <v>966</v>
      </c>
      <c r="O266" s="3">
        <v>0</v>
      </c>
      <c r="P266" s="3">
        <v>10</v>
      </c>
      <c r="Q266" s="3" t="s">
        <v>60</v>
      </c>
      <c r="R266" s="3" t="s">
        <v>61</v>
      </c>
      <c r="S266" s="3">
        <v>279</v>
      </c>
      <c r="T266" s="3">
        <v>56</v>
      </c>
      <c r="U266" s="3">
        <v>223</v>
      </c>
      <c r="V266" s="3">
        <v>65</v>
      </c>
      <c r="W266" s="3">
        <v>0</v>
      </c>
      <c r="X266" s="3" t="s">
        <v>147</v>
      </c>
      <c r="Y266" s="3">
        <v>0</v>
      </c>
      <c r="Z266" s="3">
        <v>0</v>
      </c>
      <c r="AA266" s="3">
        <v>0</v>
      </c>
      <c r="AB266" s="3">
        <v>0</v>
      </c>
      <c r="AC266" s="3">
        <v>11</v>
      </c>
      <c r="AD266" s="3">
        <v>7</v>
      </c>
      <c r="AE266" s="3">
        <v>14</v>
      </c>
      <c r="AF266" s="3" t="s">
        <v>0</v>
      </c>
      <c r="AG266" s="3" t="s">
        <v>49</v>
      </c>
    </row>
    <row r="267" spans="1:33" ht="89.25" x14ac:dyDescent="0.2">
      <c r="A267" s="5" t="str">
        <f>HYPERLINK("http://www.patentics.cn/invokexml.do?sf=ShowPatent&amp;spn=US9281932&amp;sv=588db6af75c155f9b117f0850b28fd3c","US9281932")</f>
        <v>US9281932</v>
      </c>
      <c r="B267" s="3" t="s">
        <v>967</v>
      </c>
      <c r="C267" s="3" t="s">
        <v>914</v>
      </c>
      <c r="D267" s="3" t="s">
        <v>52</v>
      </c>
      <c r="E267" s="3" t="s">
        <v>52</v>
      </c>
      <c r="F267" s="3" t="s">
        <v>915</v>
      </c>
      <c r="G267" s="3" t="s">
        <v>454</v>
      </c>
      <c r="H267" s="3" t="s">
        <v>916</v>
      </c>
      <c r="I267" s="3" t="s">
        <v>968</v>
      </c>
      <c r="J267" s="3" t="s">
        <v>683</v>
      </c>
      <c r="K267" s="3" t="s">
        <v>82</v>
      </c>
      <c r="L267" s="3" t="s">
        <v>244</v>
      </c>
      <c r="M267" s="3" t="s">
        <v>58</v>
      </c>
      <c r="N267" s="3" t="s">
        <v>969</v>
      </c>
      <c r="O267" s="3">
        <v>0</v>
      </c>
      <c r="P267" s="3">
        <v>16</v>
      </c>
      <c r="Q267" s="3" t="s">
        <v>60</v>
      </c>
      <c r="R267" s="3" t="s">
        <v>61</v>
      </c>
      <c r="S267" s="3">
        <v>276</v>
      </c>
      <c r="T267" s="3">
        <v>54</v>
      </c>
      <c r="U267" s="3">
        <v>222</v>
      </c>
      <c r="V267" s="3">
        <v>64</v>
      </c>
      <c r="W267" s="3">
        <v>14</v>
      </c>
      <c r="X267" s="3" t="s">
        <v>147</v>
      </c>
      <c r="Y267" s="3">
        <v>0</v>
      </c>
      <c r="Z267" s="3">
        <v>14</v>
      </c>
      <c r="AA267" s="3">
        <v>0</v>
      </c>
      <c r="AB267" s="3">
        <v>1</v>
      </c>
      <c r="AC267" s="3">
        <v>26</v>
      </c>
      <c r="AD267" s="3">
        <v>12</v>
      </c>
      <c r="AE267" s="3">
        <v>14</v>
      </c>
      <c r="AF267" s="3" t="s">
        <v>0</v>
      </c>
      <c r="AG267" s="3" t="s">
        <v>49</v>
      </c>
    </row>
    <row r="268" spans="1:33" ht="140.25" x14ac:dyDescent="0.2">
      <c r="A268" s="5" t="str">
        <f>HYPERLINK("http://www.patentics.cn/invokexml.do?sf=ShowPatent&amp;spn=US9282472&amp;sv=12573b5a134f751a53fd2109d243d1ed","US9282472")</f>
        <v>US9282472</v>
      </c>
      <c r="B268" s="3" t="s">
        <v>970</v>
      </c>
      <c r="C268" s="3" t="s">
        <v>971</v>
      </c>
      <c r="D268" s="3" t="s">
        <v>52</v>
      </c>
      <c r="E268" s="3" t="s">
        <v>52</v>
      </c>
      <c r="F268" s="3" t="s">
        <v>930</v>
      </c>
      <c r="G268" s="3" t="s">
        <v>78</v>
      </c>
      <c r="H268" s="3" t="s">
        <v>931</v>
      </c>
      <c r="I268" s="3" t="s">
        <v>972</v>
      </c>
      <c r="J268" s="3" t="s">
        <v>683</v>
      </c>
      <c r="K268" s="3" t="s">
        <v>82</v>
      </c>
      <c r="L268" s="3" t="s">
        <v>226</v>
      </c>
      <c r="M268" s="3" t="s">
        <v>82</v>
      </c>
      <c r="N268" s="3" t="s">
        <v>958</v>
      </c>
      <c r="O268" s="3">
        <v>0</v>
      </c>
      <c r="P268" s="3">
        <v>10</v>
      </c>
      <c r="Q268" s="3" t="s">
        <v>60</v>
      </c>
      <c r="R268" s="3" t="s">
        <v>61</v>
      </c>
      <c r="S268" s="3">
        <v>286</v>
      </c>
      <c r="T268" s="3">
        <v>62</v>
      </c>
      <c r="U268" s="3">
        <v>224</v>
      </c>
      <c r="V268" s="3">
        <v>65</v>
      </c>
      <c r="W268" s="3">
        <v>6</v>
      </c>
      <c r="X268" s="3" t="s">
        <v>147</v>
      </c>
      <c r="Y268" s="3">
        <v>0</v>
      </c>
      <c r="Z268" s="3">
        <v>6</v>
      </c>
      <c r="AA268" s="3">
        <v>0</v>
      </c>
      <c r="AB268" s="3">
        <v>1</v>
      </c>
      <c r="AC268" s="3">
        <v>22</v>
      </c>
      <c r="AD268" s="3">
        <v>11</v>
      </c>
      <c r="AE268" s="3">
        <v>14</v>
      </c>
      <c r="AF268" s="3" t="s">
        <v>0</v>
      </c>
      <c r="AG268" s="3" t="s">
        <v>49</v>
      </c>
    </row>
    <row r="269" spans="1:33" ht="255" x14ac:dyDescent="0.2">
      <c r="A269" s="5" t="str">
        <f>HYPERLINK("http://www.patentics.cn/invokexml.do?sf=ShowPatent&amp;spn=US9392608&amp;sv=08c237f9c4d3167556ddb89b7357ba3e","US9392608")</f>
        <v>US9392608</v>
      </c>
      <c r="B269" s="3" t="s">
        <v>973</v>
      </c>
      <c r="C269" s="3" t="s">
        <v>974</v>
      </c>
      <c r="D269" s="3" t="s">
        <v>52</v>
      </c>
      <c r="E269" s="3" t="s">
        <v>52</v>
      </c>
      <c r="F269" s="3" t="s">
        <v>975</v>
      </c>
      <c r="G269" s="3" t="s">
        <v>956</v>
      </c>
      <c r="H269" s="3" t="s">
        <v>931</v>
      </c>
      <c r="I269" s="3" t="s">
        <v>932</v>
      </c>
      <c r="J269" s="3" t="s">
        <v>976</v>
      </c>
      <c r="K269" s="3" t="s">
        <v>82</v>
      </c>
      <c r="L269" s="3" t="s">
        <v>226</v>
      </c>
      <c r="M269" s="3" t="s">
        <v>82</v>
      </c>
      <c r="N269" s="3" t="s">
        <v>977</v>
      </c>
      <c r="O269" s="3">
        <v>0</v>
      </c>
      <c r="P269" s="3">
        <v>15</v>
      </c>
      <c r="Q269" s="3" t="s">
        <v>60</v>
      </c>
      <c r="R269" s="3" t="s">
        <v>61</v>
      </c>
      <c r="S269" s="3">
        <v>285</v>
      </c>
      <c r="T269" s="3">
        <v>55</v>
      </c>
      <c r="U269" s="3">
        <v>230</v>
      </c>
      <c r="V269" s="3">
        <v>66</v>
      </c>
      <c r="W269" s="3">
        <v>0</v>
      </c>
      <c r="X269" s="3" t="s">
        <v>147</v>
      </c>
      <c r="Y269" s="3">
        <v>0</v>
      </c>
      <c r="Z269" s="3">
        <v>0</v>
      </c>
      <c r="AA269" s="3">
        <v>0</v>
      </c>
      <c r="AB269" s="3">
        <v>0</v>
      </c>
      <c r="AC269" s="3">
        <v>16</v>
      </c>
      <c r="AD269" s="3">
        <v>10</v>
      </c>
      <c r="AE269" s="3">
        <v>14</v>
      </c>
      <c r="AF269" s="3" t="s">
        <v>0</v>
      </c>
      <c r="AG269" s="3" t="s">
        <v>49</v>
      </c>
    </row>
    <row r="270" spans="1:33" ht="89.25" x14ac:dyDescent="0.2">
      <c r="A270" s="4" t="str">
        <f>HYPERLINK("http://www.patentics.cn/invokexml.do?sf=ShowPatent&amp;spn=US7254119&amp;sv=b191fbdfa406c586c8d3bbd9ab9d32e1","US7254119")</f>
        <v>US7254119</v>
      </c>
      <c r="B270" s="2" t="s">
        <v>1207</v>
      </c>
      <c r="C270" s="2" t="s">
        <v>1208</v>
      </c>
      <c r="D270" s="2" t="s">
        <v>346</v>
      </c>
      <c r="E270" s="2" t="s">
        <v>346</v>
      </c>
      <c r="F270" s="2" t="s">
        <v>1209</v>
      </c>
      <c r="G270" s="2" t="s">
        <v>1210</v>
      </c>
      <c r="H270" s="2" t="s">
        <v>1211</v>
      </c>
      <c r="I270" s="2" t="s">
        <v>1212</v>
      </c>
      <c r="J270" s="2" t="s">
        <v>1213</v>
      </c>
      <c r="K270" s="2" t="s">
        <v>43</v>
      </c>
      <c r="L270" s="2" t="s">
        <v>57</v>
      </c>
      <c r="M270" s="2" t="s">
        <v>82</v>
      </c>
      <c r="N270" s="2" t="s">
        <v>1214</v>
      </c>
      <c r="O270" s="2">
        <v>0</v>
      </c>
      <c r="P270" s="2">
        <v>27</v>
      </c>
      <c r="Q270" s="2" t="s">
        <v>60</v>
      </c>
      <c r="R270" s="2" t="s">
        <v>61</v>
      </c>
      <c r="S270" s="2">
        <v>8</v>
      </c>
      <c r="T270" s="2">
        <v>0</v>
      </c>
      <c r="U270" s="2">
        <v>8</v>
      </c>
      <c r="V270" s="2">
        <v>5</v>
      </c>
      <c r="W270" s="2">
        <v>58</v>
      </c>
      <c r="X270" s="2" t="s">
        <v>1215</v>
      </c>
      <c r="Y270" s="2">
        <v>9</v>
      </c>
      <c r="Z270" s="2">
        <v>49</v>
      </c>
      <c r="AA270" s="2">
        <v>20</v>
      </c>
      <c r="AB270" s="2">
        <v>1</v>
      </c>
      <c r="AC270" s="2">
        <v>6</v>
      </c>
      <c r="AD270" s="2">
        <v>3</v>
      </c>
      <c r="AE270" s="2" t="s">
        <v>0</v>
      </c>
      <c r="AF270" s="2">
        <v>13</v>
      </c>
      <c r="AG270" s="2" t="s">
        <v>49</v>
      </c>
    </row>
    <row r="271" spans="1:33" ht="38.25" x14ac:dyDescent="0.2">
      <c r="A271" s="5" t="str">
        <f>HYPERLINK("http://www.patentics.cn/invokexml.do?sf=ShowPatent&amp;spn=US7653037&amp;sv=322c82ee68fc83509f9f0677105f8588","US7653037")</f>
        <v>US7653037</v>
      </c>
      <c r="B271" s="3" t="s">
        <v>1216</v>
      </c>
      <c r="C271" s="3" t="s">
        <v>1217</v>
      </c>
      <c r="D271" s="3" t="s">
        <v>52</v>
      </c>
      <c r="E271" s="3" t="s">
        <v>52</v>
      </c>
      <c r="F271" s="3" t="s">
        <v>1218</v>
      </c>
      <c r="G271" s="3" t="s">
        <v>1219</v>
      </c>
      <c r="H271" s="3" t="s">
        <v>1220</v>
      </c>
      <c r="I271" s="3" t="s">
        <v>1220</v>
      </c>
      <c r="J271" s="3" t="s">
        <v>1221</v>
      </c>
      <c r="K271" s="3" t="s">
        <v>82</v>
      </c>
      <c r="L271" s="3" t="s">
        <v>83</v>
      </c>
      <c r="M271" s="3" t="s">
        <v>58</v>
      </c>
      <c r="N271" s="3" t="s">
        <v>1222</v>
      </c>
      <c r="O271" s="3">
        <v>0</v>
      </c>
      <c r="P271" s="3">
        <v>18</v>
      </c>
      <c r="Q271" s="3" t="s">
        <v>60</v>
      </c>
      <c r="R271" s="3" t="s">
        <v>61</v>
      </c>
      <c r="S271" s="3">
        <v>12</v>
      </c>
      <c r="T271" s="3">
        <v>0</v>
      </c>
      <c r="U271" s="3">
        <v>12</v>
      </c>
      <c r="V271" s="3">
        <v>6</v>
      </c>
      <c r="W271" s="3">
        <v>12</v>
      </c>
      <c r="X271" s="3" t="s">
        <v>1223</v>
      </c>
      <c r="Y271" s="3">
        <v>4</v>
      </c>
      <c r="Z271" s="3">
        <v>8</v>
      </c>
      <c r="AA271" s="3">
        <v>4</v>
      </c>
      <c r="AB271" s="3">
        <v>2</v>
      </c>
      <c r="AC271" s="3">
        <v>26</v>
      </c>
      <c r="AD271" s="3">
        <v>11</v>
      </c>
      <c r="AE271" s="3">
        <v>14</v>
      </c>
      <c r="AF271" s="3" t="s">
        <v>0</v>
      </c>
      <c r="AG271" s="3" t="s">
        <v>49</v>
      </c>
    </row>
    <row r="272" spans="1:33" ht="127.5" x14ac:dyDescent="0.2">
      <c r="A272" s="5" t="str">
        <f>HYPERLINK("http://www.patentics.cn/invokexml.do?sf=ShowPatent&amp;spn=US8116252&amp;sv=af1823b664fa5e29e130ae0b9ef97639","US8116252")</f>
        <v>US8116252</v>
      </c>
      <c r="B272" s="3" t="s">
        <v>1224</v>
      </c>
      <c r="C272" s="3" t="s">
        <v>1225</v>
      </c>
      <c r="D272" s="3" t="s">
        <v>52</v>
      </c>
      <c r="E272" s="3" t="s">
        <v>52</v>
      </c>
      <c r="F272" s="3" t="s">
        <v>1226</v>
      </c>
      <c r="G272" s="3" t="s">
        <v>1227</v>
      </c>
      <c r="H272" s="3" t="s">
        <v>1228</v>
      </c>
      <c r="I272" s="3" t="s">
        <v>1229</v>
      </c>
      <c r="J272" s="3" t="s">
        <v>1230</v>
      </c>
      <c r="K272" s="3" t="s">
        <v>58</v>
      </c>
      <c r="L272" s="3" t="s">
        <v>763</v>
      </c>
      <c r="M272" s="3" t="s">
        <v>58</v>
      </c>
      <c r="N272" s="3" t="s">
        <v>1231</v>
      </c>
      <c r="O272" s="3">
        <v>0</v>
      </c>
      <c r="P272" s="3">
        <v>18</v>
      </c>
      <c r="Q272" s="3" t="s">
        <v>60</v>
      </c>
      <c r="R272" s="3" t="s">
        <v>61</v>
      </c>
      <c r="S272" s="3">
        <v>19</v>
      </c>
      <c r="T272" s="3">
        <v>2</v>
      </c>
      <c r="U272" s="3">
        <v>17</v>
      </c>
      <c r="V272" s="3">
        <v>10</v>
      </c>
      <c r="W272" s="3">
        <v>2</v>
      </c>
      <c r="X272" s="3" t="s">
        <v>1232</v>
      </c>
      <c r="Y272" s="3">
        <v>1</v>
      </c>
      <c r="Z272" s="3">
        <v>1</v>
      </c>
      <c r="AA272" s="3">
        <v>2</v>
      </c>
      <c r="AB272" s="3">
        <v>1</v>
      </c>
      <c r="AC272" s="3">
        <v>22</v>
      </c>
      <c r="AD272" s="3">
        <v>7</v>
      </c>
      <c r="AE272" s="3">
        <v>14</v>
      </c>
      <c r="AF272" s="3" t="s">
        <v>0</v>
      </c>
      <c r="AG272" s="3" t="s">
        <v>49</v>
      </c>
    </row>
    <row r="273" spans="1:33" ht="127.5" x14ac:dyDescent="0.2">
      <c r="A273" s="5" t="str">
        <f>HYPERLINK("http://www.patentics.cn/invokexml.do?sf=ShowPatent&amp;spn=US8121037&amp;sv=c9ecc9713145b1fd697ce66bfd659e07","US8121037")</f>
        <v>US8121037</v>
      </c>
      <c r="B273" s="3" t="s">
        <v>1233</v>
      </c>
      <c r="C273" s="3" t="s">
        <v>1234</v>
      </c>
      <c r="D273" s="3" t="s">
        <v>52</v>
      </c>
      <c r="E273" s="3" t="s">
        <v>52</v>
      </c>
      <c r="F273" s="3" t="s">
        <v>1226</v>
      </c>
      <c r="G273" s="3" t="s">
        <v>1227</v>
      </c>
      <c r="H273" s="3" t="s">
        <v>1228</v>
      </c>
      <c r="I273" s="3" t="s">
        <v>1229</v>
      </c>
      <c r="J273" s="3" t="s">
        <v>1235</v>
      </c>
      <c r="K273" s="3" t="s">
        <v>58</v>
      </c>
      <c r="L273" s="3" t="s">
        <v>1236</v>
      </c>
      <c r="M273" s="3" t="s">
        <v>58</v>
      </c>
      <c r="N273" s="3" t="s">
        <v>1237</v>
      </c>
      <c r="O273" s="3">
        <v>0</v>
      </c>
      <c r="P273" s="3">
        <v>20</v>
      </c>
      <c r="Q273" s="3" t="s">
        <v>60</v>
      </c>
      <c r="R273" s="3" t="s">
        <v>61</v>
      </c>
      <c r="S273" s="3">
        <v>18</v>
      </c>
      <c r="T273" s="3">
        <v>1</v>
      </c>
      <c r="U273" s="3">
        <v>17</v>
      </c>
      <c r="V273" s="3">
        <v>10</v>
      </c>
      <c r="W273" s="3">
        <v>3</v>
      </c>
      <c r="X273" s="3" t="s">
        <v>1148</v>
      </c>
      <c r="Y273" s="3">
        <v>2</v>
      </c>
      <c r="Z273" s="3">
        <v>1</v>
      </c>
      <c r="AA273" s="3">
        <v>2</v>
      </c>
      <c r="AB273" s="3">
        <v>1</v>
      </c>
      <c r="AC273" s="3">
        <v>22</v>
      </c>
      <c r="AD273" s="3">
        <v>7</v>
      </c>
      <c r="AE273" s="3">
        <v>14</v>
      </c>
      <c r="AF273" s="3" t="s">
        <v>0</v>
      </c>
      <c r="AG273" s="3" t="s">
        <v>49</v>
      </c>
    </row>
    <row r="274" spans="1:33" ht="38.25" x14ac:dyDescent="0.2">
      <c r="A274" s="5" t="str">
        <f>HYPERLINK("http://www.patentics.cn/invokexml.do?sf=ShowPatent&amp;spn=US8638765&amp;sv=44f4df6ae74b6176b2d4bfb40ef4828a","US8638765")</f>
        <v>US8638765</v>
      </c>
      <c r="B274" s="3" t="s">
        <v>1238</v>
      </c>
      <c r="C274" s="3" t="s">
        <v>1217</v>
      </c>
      <c r="D274" s="3" t="s">
        <v>52</v>
      </c>
      <c r="E274" s="3" t="s">
        <v>52</v>
      </c>
      <c r="F274" s="3" t="s">
        <v>1218</v>
      </c>
      <c r="G274" s="3" t="s">
        <v>1219</v>
      </c>
      <c r="H274" s="3" t="s">
        <v>1220</v>
      </c>
      <c r="I274" s="3" t="s">
        <v>1239</v>
      </c>
      <c r="J274" s="3" t="s">
        <v>892</v>
      </c>
      <c r="K274" s="3" t="s">
        <v>82</v>
      </c>
      <c r="L274" s="3" t="s">
        <v>83</v>
      </c>
      <c r="M274" s="3" t="s">
        <v>58</v>
      </c>
      <c r="N274" s="3" t="s">
        <v>1222</v>
      </c>
      <c r="O274" s="3">
        <v>0</v>
      </c>
      <c r="P274" s="3">
        <v>17</v>
      </c>
      <c r="Q274" s="3" t="s">
        <v>60</v>
      </c>
      <c r="R274" s="3" t="s">
        <v>61</v>
      </c>
      <c r="S274" s="3">
        <v>38</v>
      </c>
      <c r="T274" s="3">
        <v>1</v>
      </c>
      <c r="U274" s="3">
        <v>37</v>
      </c>
      <c r="V274" s="3">
        <v>20</v>
      </c>
      <c r="W274" s="3">
        <v>1</v>
      </c>
      <c r="X274" s="3" t="s">
        <v>74</v>
      </c>
      <c r="Y274" s="3">
        <v>0</v>
      </c>
      <c r="Z274" s="3">
        <v>1</v>
      </c>
      <c r="AA274" s="3">
        <v>1</v>
      </c>
      <c r="AB274" s="3">
        <v>1</v>
      </c>
      <c r="AC274" s="3">
        <v>26</v>
      </c>
      <c r="AD274" s="3">
        <v>11</v>
      </c>
      <c r="AE274" s="3">
        <v>14</v>
      </c>
      <c r="AF274" s="3" t="s">
        <v>0</v>
      </c>
      <c r="AG274" s="3" t="s">
        <v>49</v>
      </c>
    </row>
    <row r="275" spans="1:33" ht="51" x14ac:dyDescent="0.2">
      <c r="A275" s="5" t="str">
        <f>HYPERLINK("http://www.patentics.cn/invokexml.do?sf=ShowPatent&amp;spn=US8644206&amp;sv=1713dfb3959cdc1e409e2e010bff994c","US8644206")</f>
        <v>US8644206</v>
      </c>
      <c r="B275" s="3" t="s">
        <v>1240</v>
      </c>
      <c r="C275" s="3" t="s">
        <v>1241</v>
      </c>
      <c r="D275" s="3" t="s">
        <v>52</v>
      </c>
      <c r="E275" s="3" t="s">
        <v>52</v>
      </c>
      <c r="F275" s="3" t="s">
        <v>1242</v>
      </c>
      <c r="G275" s="3" t="s">
        <v>1243</v>
      </c>
      <c r="H275" s="3" t="s">
        <v>1244</v>
      </c>
      <c r="I275" s="3" t="s">
        <v>1245</v>
      </c>
      <c r="J275" s="3" t="s">
        <v>152</v>
      </c>
      <c r="K275" s="3" t="s">
        <v>1246</v>
      </c>
      <c r="L275" s="3" t="s">
        <v>1247</v>
      </c>
      <c r="M275" s="3" t="s">
        <v>58</v>
      </c>
      <c r="N275" s="3" t="s">
        <v>1248</v>
      </c>
      <c r="O275" s="3">
        <v>0</v>
      </c>
      <c r="P275" s="3">
        <v>14</v>
      </c>
      <c r="Q275" s="3" t="s">
        <v>60</v>
      </c>
      <c r="R275" s="3" t="s">
        <v>61</v>
      </c>
      <c r="S275" s="3">
        <v>247</v>
      </c>
      <c r="T275" s="3">
        <v>18</v>
      </c>
      <c r="U275" s="3">
        <v>229</v>
      </c>
      <c r="V275" s="3">
        <v>85</v>
      </c>
      <c r="W275" s="3">
        <v>4</v>
      </c>
      <c r="X275" s="3" t="s">
        <v>1249</v>
      </c>
      <c r="Y275" s="3">
        <v>2</v>
      </c>
      <c r="Z275" s="3">
        <v>2</v>
      </c>
      <c r="AA275" s="3">
        <v>3</v>
      </c>
      <c r="AB275" s="3">
        <v>2</v>
      </c>
      <c r="AC275" s="3">
        <v>125</v>
      </c>
      <c r="AD275" s="3">
        <v>13</v>
      </c>
      <c r="AE275" s="3">
        <v>14</v>
      </c>
      <c r="AF275" s="3" t="s">
        <v>0</v>
      </c>
      <c r="AG275" s="3" t="s">
        <v>49</v>
      </c>
    </row>
    <row r="276" spans="1:33" ht="127.5" x14ac:dyDescent="0.2">
      <c r="A276" s="5" t="str">
        <f>HYPERLINK("http://www.patentics.cn/invokexml.do?sf=ShowPatent&amp;spn=US8683048&amp;sv=c245b9183ddb08aef0651bc8b5a4ba0b","US8683048")</f>
        <v>US8683048</v>
      </c>
      <c r="B276" s="3" t="s">
        <v>1250</v>
      </c>
      <c r="C276" s="3" t="s">
        <v>1251</v>
      </c>
      <c r="D276" s="3" t="s">
        <v>52</v>
      </c>
      <c r="E276" s="3" t="s">
        <v>52</v>
      </c>
      <c r="F276" s="3" t="s">
        <v>1252</v>
      </c>
      <c r="G276" s="3" t="s">
        <v>1253</v>
      </c>
      <c r="H276" s="3" t="s">
        <v>1254</v>
      </c>
      <c r="I276" s="3" t="s">
        <v>1255</v>
      </c>
      <c r="J276" s="3" t="s">
        <v>158</v>
      </c>
      <c r="K276" s="3" t="s">
        <v>555</v>
      </c>
      <c r="L276" s="3" t="s">
        <v>556</v>
      </c>
      <c r="M276" s="3" t="s">
        <v>58</v>
      </c>
      <c r="N276" s="3" t="s">
        <v>1256</v>
      </c>
      <c r="O276" s="3">
        <v>0</v>
      </c>
      <c r="P276" s="3">
        <v>14</v>
      </c>
      <c r="Q276" s="3" t="s">
        <v>60</v>
      </c>
      <c r="R276" s="3" t="s">
        <v>61</v>
      </c>
      <c r="S276" s="3">
        <v>20</v>
      </c>
      <c r="T276" s="3">
        <v>2</v>
      </c>
      <c r="U276" s="3">
        <v>18</v>
      </c>
      <c r="V276" s="3">
        <v>13</v>
      </c>
      <c r="W276" s="3">
        <v>0</v>
      </c>
      <c r="X276" s="3" t="s">
        <v>147</v>
      </c>
      <c r="Y276" s="3">
        <v>0</v>
      </c>
      <c r="Z276" s="3">
        <v>0</v>
      </c>
      <c r="AA276" s="3">
        <v>0</v>
      </c>
      <c r="AB276" s="3">
        <v>0</v>
      </c>
      <c r="AC276" s="3">
        <v>3</v>
      </c>
      <c r="AD276" s="3">
        <v>3</v>
      </c>
      <c r="AE276" s="3">
        <v>14</v>
      </c>
      <c r="AF276" s="3" t="s">
        <v>0</v>
      </c>
      <c r="AG276" s="3" t="s">
        <v>49</v>
      </c>
    </row>
    <row r="277" spans="1:33" ht="63.75" x14ac:dyDescent="0.2">
      <c r="A277" s="5" t="str">
        <f>HYPERLINK("http://www.patentics.cn/invokexml.do?sf=ShowPatent&amp;spn=US8898323&amp;sv=6e76e490d07eae2fe69cbd868c52b45d","US8898323")</f>
        <v>US8898323</v>
      </c>
      <c r="B277" s="3" t="s">
        <v>1257</v>
      </c>
      <c r="C277" s="3" t="s">
        <v>1258</v>
      </c>
      <c r="D277" s="3" t="s">
        <v>52</v>
      </c>
      <c r="E277" s="3" t="s">
        <v>52</v>
      </c>
      <c r="F277" s="3" t="s">
        <v>1259</v>
      </c>
      <c r="G277" s="3" t="s">
        <v>1260</v>
      </c>
      <c r="H277" s="3" t="s">
        <v>1261</v>
      </c>
      <c r="I277" s="3" t="s">
        <v>1262</v>
      </c>
      <c r="J277" s="3" t="s">
        <v>1064</v>
      </c>
      <c r="K277" s="3" t="s">
        <v>555</v>
      </c>
      <c r="L277" s="3" t="s">
        <v>556</v>
      </c>
      <c r="M277" s="3" t="s">
        <v>58</v>
      </c>
      <c r="N277" s="3" t="s">
        <v>1263</v>
      </c>
      <c r="O277" s="3">
        <v>0</v>
      </c>
      <c r="P277" s="3">
        <v>20</v>
      </c>
      <c r="Q277" s="3" t="s">
        <v>60</v>
      </c>
      <c r="R277" s="3" t="s">
        <v>61</v>
      </c>
      <c r="S277" s="3">
        <v>21</v>
      </c>
      <c r="T277" s="3">
        <v>2</v>
      </c>
      <c r="U277" s="3">
        <v>19</v>
      </c>
      <c r="V277" s="3">
        <v>13</v>
      </c>
      <c r="W277" s="3">
        <v>0</v>
      </c>
      <c r="X277" s="3" t="s">
        <v>147</v>
      </c>
      <c r="Y277" s="3">
        <v>0</v>
      </c>
      <c r="Z277" s="3">
        <v>0</v>
      </c>
      <c r="AA277" s="3">
        <v>0</v>
      </c>
      <c r="AB277" s="3">
        <v>0</v>
      </c>
      <c r="AC277" s="3">
        <v>10</v>
      </c>
      <c r="AD277" s="3">
        <v>7</v>
      </c>
      <c r="AE277" s="3">
        <v>14</v>
      </c>
      <c r="AF277" s="3" t="s">
        <v>0</v>
      </c>
      <c r="AG277" s="3" t="s">
        <v>49</v>
      </c>
    </row>
    <row r="278" spans="1:33" ht="89.25" x14ac:dyDescent="0.2">
      <c r="A278" s="5" t="str">
        <f>HYPERLINK("http://www.patentics.cn/invokexml.do?sf=ShowPatent&amp;spn=US8984105&amp;sv=08432fb944fa59831e5f8a45f664e92b","US8984105")</f>
        <v>US8984105</v>
      </c>
      <c r="B278" s="3" t="s">
        <v>1264</v>
      </c>
      <c r="C278" s="3" t="s">
        <v>1265</v>
      </c>
      <c r="D278" s="3" t="s">
        <v>52</v>
      </c>
      <c r="E278" s="3" t="s">
        <v>52</v>
      </c>
      <c r="F278" s="3" t="s">
        <v>1266</v>
      </c>
      <c r="G278" s="3" t="s">
        <v>1267</v>
      </c>
      <c r="H278" s="3" t="s">
        <v>1268</v>
      </c>
      <c r="I278" s="3" t="s">
        <v>1269</v>
      </c>
      <c r="J278" s="3" t="s">
        <v>1270</v>
      </c>
      <c r="K278" s="3" t="s">
        <v>555</v>
      </c>
      <c r="L278" s="3" t="s">
        <v>1271</v>
      </c>
      <c r="M278" s="3" t="s">
        <v>58</v>
      </c>
      <c r="N278" s="3" t="s">
        <v>1272</v>
      </c>
      <c r="O278" s="3">
        <v>0</v>
      </c>
      <c r="P278" s="3">
        <v>26</v>
      </c>
      <c r="Q278" s="3" t="s">
        <v>60</v>
      </c>
      <c r="R278" s="3" t="s">
        <v>61</v>
      </c>
      <c r="S278" s="3">
        <v>37</v>
      </c>
      <c r="T278" s="3">
        <v>3</v>
      </c>
      <c r="U278" s="3">
        <v>34</v>
      </c>
      <c r="V278" s="3">
        <v>23</v>
      </c>
      <c r="W278" s="3">
        <v>0</v>
      </c>
      <c r="X278" s="3" t="s">
        <v>147</v>
      </c>
      <c r="Y278" s="3">
        <v>0</v>
      </c>
      <c r="Z278" s="3">
        <v>0</v>
      </c>
      <c r="AA278" s="3">
        <v>0</v>
      </c>
      <c r="AB278" s="3">
        <v>0</v>
      </c>
      <c r="AC278" s="3">
        <v>8</v>
      </c>
      <c r="AD278" s="3">
        <v>7</v>
      </c>
      <c r="AE278" s="3">
        <v>14</v>
      </c>
      <c r="AF278" s="3" t="s">
        <v>0</v>
      </c>
      <c r="AG278" s="3" t="s">
        <v>49</v>
      </c>
    </row>
    <row r="279" spans="1:33" ht="51" x14ac:dyDescent="0.2">
      <c r="A279" s="5" t="str">
        <f>HYPERLINK("http://www.patentics.cn/invokexml.do?sf=ShowPatent&amp;spn=US9167426&amp;sv=dcb2f5706302d9c3f86eaa28dbb10d22","US9167426")</f>
        <v>US9167426</v>
      </c>
      <c r="B279" s="3" t="s">
        <v>1273</v>
      </c>
      <c r="C279" s="3" t="s">
        <v>1274</v>
      </c>
      <c r="D279" s="3" t="s">
        <v>52</v>
      </c>
      <c r="E279" s="3" t="s">
        <v>52</v>
      </c>
      <c r="F279" s="3" t="s">
        <v>1242</v>
      </c>
      <c r="G279" s="3" t="s">
        <v>1243</v>
      </c>
      <c r="H279" s="3" t="s">
        <v>1244</v>
      </c>
      <c r="I279" s="3" t="s">
        <v>1275</v>
      </c>
      <c r="J279" s="3" t="s">
        <v>1276</v>
      </c>
      <c r="K279" s="3" t="s">
        <v>82</v>
      </c>
      <c r="L279" s="3" t="s">
        <v>83</v>
      </c>
      <c r="M279" s="3" t="s">
        <v>82</v>
      </c>
      <c r="N279" s="3" t="s">
        <v>1277</v>
      </c>
      <c r="O279" s="3">
        <v>0</v>
      </c>
      <c r="P279" s="3">
        <v>12</v>
      </c>
      <c r="Q279" s="3" t="s">
        <v>60</v>
      </c>
      <c r="R279" s="3" t="s">
        <v>61</v>
      </c>
      <c r="S279" s="3">
        <v>294</v>
      </c>
      <c r="T279" s="3">
        <v>19</v>
      </c>
      <c r="U279" s="3">
        <v>275</v>
      </c>
      <c r="V279" s="3">
        <v>97</v>
      </c>
      <c r="W279" s="3">
        <v>0</v>
      </c>
      <c r="X279" s="3" t="s">
        <v>147</v>
      </c>
      <c r="Y279" s="3">
        <v>0</v>
      </c>
      <c r="Z279" s="3">
        <v>0</v>
      </c>
      <c r="AA279" s="3">
        <v>0</v>
      </c>
      <c r="AB279" s="3">
        <v>0</v>
      </c>
      <c r="AC279" s="3">
        <v>125</v>
      </c>
      <c r="AD279" s="3">
        <v>13</v>
      </c>
      <c r="AE279" s="3">
        <v>14</v>
      </c>
      <c r="AF279" s="3" t="s">
        <v>0</v>
      </c>
      <c r="AG279" s="3" t="s">
        <v>49</v>
      </c>
    </row>
    <row r="280" spans="1:33" ht="51" x14ac:dyDescent="0.2">
      <c r="A280" s="5" t="str">
        <f>HYPERLINK("http://www.patentics.cn/invokexml.do?sf=ShowPatent&amp;spn=US9179367&amp;sv=ffa759bfc03939c02e0ed8f4b68f3430","US9179367")</f>
        <v>US9179367</v>
      </c>
      <c r="B280" s="3" t="s">
        <v>1278</v>
      </c>
      <c r="C280" s="3" t="s">
        <v>1279</v>
      </c>
      <c r="D280" s="3" t="s">
        <v>52</v>
      </c>
      <c r="E280" s="3" t="s">
        <v>52</v>
      </c>
      <c r="F280" s="3" t="s">
        <v>1242</v>
      </c>
      <c r="G280" s="3" t="s">
        <v>1243</v>
      </c>
      <c r="H280" s="3" t="s">
        <v>1269</v>
      </c>
      <c r="I280" s="3" t="s">
        <v>1280</v>
      </c>
      <c r="J280" s="3" t="s">
        <v>269</v>
      </c>
      <c r="K280" s="3" t="s">
        <v>82</v>
      </c>
      <c r="L280" s="3" t="s">
        <v>1281</v>
      </c>
      <c r="M280" s="3" t="s">
        <v>82</v>
      </c>
      <c r="N280" s="3" t="s">
        <v>119</v>
      </c>
      <c r="O280" s="3">
        <v>0</v>
      </c>
      <c r="P280" s="3">
        <v>14</v>
      </c>
      <c r="Q280" s="3" t="s">
        <v>60</v>
      </c>
      <c r="R280" s="3" t="s">
        <v>61</v>
      </c>
      <c r="S280" s="3">
        <v>296</v>
      </c>
      <c r="T280" s="3">
        <v>19</v>
      </c>
      <c r="U280" s="3">
        <v>277</v>
      </c>
      <c r="V280" s="3">
        <v>98</v>
      </c>
      <c r="W280" s="3">
        <v>0</v>
      </c>
      <c r="X280" s="3" t="s">
        <v>147</v>
      </c>
      <c r="Y280" s="3">
        <v>0</v>
      </c>
      <c r="Z280" s="3">
        <v>0</v>
      </c>
      <c r="AA280" s="3">
        <v>0</v>
      </c>
      <c r="AB280" s="3">
        <v>0</v>
      </c>
      <c r="AC280" s="3">
        <v>10</v>
      </c>
      <c r="AD280" s="3">
        <v>6</v>
      </c>
      <c r="AE280" s="3">
        <v>14</v>
      </c>
      <c r="AF280" s="3" t="s">
        <v>0</v>
      </c>
      <c r="AG280" s="3" t="s">
        <v>49</v>
      </c>
    </row>
    <row r="281" spans="1:33" ht="51" x14ac:dyDescent="0.2">
      <c r="A281" s="5" t="str">
        <f>HYPERLINK("http://www.patentics.cn/invokexml.do?sf=ShowPatent&amp;spn=US9265003&amp;sv=e42a8d283075706751950a191a13df87","US9265003")</f>
        <v>US9265003</v>
      </c>
      <c r="B281" s="3" t="s">
        <v>1282</v>
      </c>
      <c r="C281" s="3" t="s">
        <v>1283</v>
      </c>
      <c r="D281" s="3" t="s">
        <v>52</v>
      </c>
      <c r="E281" s="3" t="s">
        <v>52</v>
      </c>
      <c r="F281" s="3" t="s">
        <v>1284</v>
      </c>
      <c r="G281" s="3" t="s">
        <v>1285</v>
      </c>
      <c r="H281" s="3" t="s">
        <v>1286</v>
      </c>
      <c r="I281" s="3" t="s">
        <v>1286</v>
      </c>
      <c r="J281" s="3" t="s">
        <v>664</v>
      </c>
      <c r="K281" s="3" t="s">
        <v>82</v>
      </c>
      <c r="L281" s="3" t="s">
        <v>516</v>
      </c>
      <c r="M281" s="3" t="s">
        <v>82</v>
      </c>
      <c r="N281" s="3" t="s">
        <v>1287</v>
      </c>
      <c r="O281" s="3">
        <v>0</v>
      </c>
      <c r="P281" s="3">
        <v>13</v>
      </c>
      <c r="Q281" s="3" t="s">
        <v>60</v>
      </c>
      <c r="R281" s="3" t="s">
        <v>61</v>
      </c>
      <c r="S281" s="3">
        <v>8</v>
      </c>
      <c r="T281" s="3">
        <v>0</v>
      </c>
      <c r="U281" s="3">
        <v>8</v>
      </c>
      <c r="V281" s="3">
        <v>4</v>
      </c>
      <c r="W281" s="3">
        <v>0</v>
      </c>
      <c r="X281" s="3" t="s">
        <v>147</v>
      </c>
      <c r="Y281" s="3">
        <v>0</v>
      </c>
      <c r="Z281" s="3">
        <v>0</v>
      </c>
      <c r="AA281" s="3">
        <v>0</v>
      </c>
      <c r="AB281" s="3">
        <v>0</v>
      </c>
      <c r="AC281" s="3">
        <v>4</v>
      </c>
      <c r="AD281" s="3">
        <v>3</v>
      </c>
      <c r="AE281" s="3">
        <v>14</v>
      </c>
      <c r="AF281" s="3" t="s">
        <v>0</v>
      </c>
      <c r="AG281" s="3" t="s">
        <v>49</v>
      </c>
    </row>
    <row r="282" spans="1:33" ht="25.5" x14ac:dyDescent="0.2">
      <c r="A282" s="5" t="str">
        <f>HYPERLINK("http://www.patentics.cn/invokexml.do?sf=ShowPatent&amp;spn=US9392445&amp;sv=6f2485f53c0f60973599bcd153fab313","US9392445")</f>
        <v>US9392445</v>
      </c>
      <c r="B282" s="3" t="s">
        <v>1288</v>
      </c>
      <c r="C282" s="3" t="s">
        <v>1289</v>
      </c>
      <c r="D282" s="3" t="s">
        <v>52</v>
      </c>
      <c r="E282" s="3" t="s">
        <v>52</v>
      </c>
      <c r="F282" s="3" t="s">
        <v>1243</v>
      </c>
      <c r="G282" s="3" t="s">
        <v>1243</v>
      </c>
      <c r="H282" s="3" t="s">
        <v>1244</v>
      </c>
      <c r="I282" s="3" t="s">
        <v>1290</v>
      </c>
      <c r="J282" s="3" t="s">
        <v>976</v>
      </c>
      <c r="K282" s="3" t="s">
        <v>82</v>
      </c>
      <c r="L282" s="3" t="s">
        <v>177</v>
      </c>
      <c r="M282" s="3" t="s">
        <v>82</v>
      </c>
      <c r="N282" s="3" t="s">
        <v>1291</v>
      </c>
      <c r="O282" s="3">
        <v>0</v>
      </c>
      <c r="P282" s="3">
        <v>15</v>
      </c>
      <c r="Q282" s="3" t="s">
        <v>60</v>
      </c>
      <c r="R282" s="3" t="s">
        <v>61</v>
      </c>
      <c r="S282" s="3">
        <v>305</v>
      </c>
      <c r="T282" s="3">
        <v>21</v>
      </c>
      <c r="U282" s="3">
        <v>284</v>
      </c>
      <c r="V282" s="3">
        <v>101</v>
      </c>
      <c r="W282" s="3">
        <v>0</v>
      </c>
      <c r="X282" s="3" t="s">
        <v>147</v>
      </c>
      <c r="Y282" s="3">
        <v>0</v>
      </c>
      <c r="Z282" s="3">
        <v>0</v>
      </c>
      <c r="AA282" s="3">
        <v>0</v>
      </c>
      <c r="AB282" s="3">
        <v>0</v>
      </c>
      <c r="AC282" s="3">
        <v>125</v>
      </c>
      <c r="AD282" s="3">
        <v>13</v>
      </c>
      <c r="AE282" s="3">
        <v>14</v>
      </c>
      <c r="AF282" s="3" t="s">
        <v>0</v>
      </c>
      <c r="AG282" s="3" t="s">
        <v>49</v>
      </c>
    </row>
    <row r="283" spans="1:33" ht="51" x14ac:dyDescent="0.2">
      <c r="A283" s="5" t="str">
        <f>HYPERLINK("http://www.patentics.cn/invokexml.do?sf=ShowPatent&amp;spn=US9398453&amp;sv=dabf60a9c233b88ee09cedf490cef99b","US9398453")</f>
        <v>US9398453</v>
      </c>
      <c r="B283" s="3" t="s">
        <v>1292</v>
      </c>
      <c r="C283" s="3" t="s">
        <v>1274</v>
      </c>
      <c r="D283" s="3" t="s">
        <v>52</v>
      </c>
      <c r="E283" s="3" t="s">
        <v>52</v>
      </c>
      <c r="F283" s="3" t="s">
        <v>1242</v>
      </c>
      <c r="G283" s="3" t="s">
        <v>1243</v>
      </c>
      <c r="H283" s="3" t="s">
        <v>1244</v>
      </c>
      <c r="I283" s="3" t="s">
        <v>1245</v>
      </c>
      <c r="J283" s="3" t="s">
        <v>1293</v>
      </c>
      <c r="K283" s="3" t="s">
        <v>82</v>
      </c>
      <c r="L283" s="3" t="s">
        <v>1294</v>
      </c>
      <c r="M283" s="3" t="s">
        <v>82</v>
      </c>
      <c r="N283" s="3" t="s">
        <v>1277</v>
      </c>
      <c r="O283" s="3">
        <v>0</v>
      </c>
      <c r="P283" s="3">
        <v>15</v>
      </c>
      <c r="Q283" s="3" t="s">
        <v>60</v>
      </c>
      <c r="R283" s="3" t="s">
        <v>61</v>
      </c>
      <c r="S283" s="3">
        <v>308</v>
      </c>
      <c r="T283" s="3">
        <v>21</v>
      </c>
      <c r="U283" s="3">
        <v>287</v>
      </c>
      <c r="V283" s="3">
        <v>100</v>
      </c>
      <c r="W283" s="3">
        <v>0</v>
      </c>
      <c r="X283" s="3" t="s">
        <v>147</v>
      </c>
      <c r="Y283" s="3">
        <v>0</v>
      </c>
      <c r="Z283" s="3">
        <v>0</v>
      </c>
      <c r="AA283" s="3">
        <v>0</v>
      </c>
      <c r="AB283" s="3">
        <v>0</v>
      </c>
      <c r="AC283" s="3">
        <v>125</v>
      </c>
      <c r="AD283" s="3">
        <v>13</v>
      </c>
      <c r="AE283" s="3">
        <v>14</v>
      </c>
      <c r="AF283" s="3" t="s">
        <v>0</v>
      </c>
      <c r="AG283" s="3" t="s">
        <v>49</v>
      </c>
    </row>
    <row r="284" spans="1:33" ht="25.5" x14ac:dyDescent="0.2">
      <c r="A284" s="4" t="str">
        <f>HYPERLINK("http://www.patentics.cn/invokexml.do?sf=ShowPatent&amp;spn=CN101090281&amp;sv=bedab82b6ee9200c0dfd21981f50d05e","CN101090281")</f>
        <v>CN101090281</v>
      </c>
      <c r="B284" s="2" t="s">
        <v>1295</v>
      </c>
      <c r="C284" s="2" t="s">
        <v>1296</v>
      </c>
      <c r="D284" s="2" t="s">
        <v>38</v>
      </c>
      <c r="E284" s="2" t="s">
        <v>38</v>
      </c>
      <c r="F284" s="2" t="s">
        <v>1297</v>
      </c>
      <c r="G284" s="2" t="s">
        <v>1297</v>
      </c>
      <c r="H284" s="2" t="s">
        <v>1298</v>
      </c>
      <c r="I284" s="2" t="s">
        <v>1298</v>
      </c>
      <c r="J284" s="2" t="s">
        <v>1299</v>
      </c>
      <c r="K284" s="2" t="s">
        <v>84</v>
      </c>
      <c r="L284" s="2" t="s">
        <v>1300</v>
      </c>
      <c r="M284" s="2" t="s">
        <v>84</v>
      </c>
      <c r="N284" s="2" t="s">
        <v>1301</v>
      </c>
      <c r="O284" s="2">
        <v>10</v>
      </c>
      <c r="P284" s="2">
        <v>10</v>
      </c>
      <c r="Q284" s="2" t="s">
        <v>46</v>
      </c>
      <c r="R284" s="2" t="s">
        <v>47</v>
      </c>
      <c r="S284" s="2">
        <v>0</v>
      </c>
      <c r="T284" s="2">
        <v>0</v>
      </c>
      <c r="U284" s="2">
        <v>0</v>
      </c>
      <c r="V284" s="2">
        <v>0</v>
      </c>
      <c r="W284" s="2">
        <v>52</v>
      </c>
      <c r="X284" s="2" t="s">
        <v>1302</v>
      </c>
      <c r="Y284" s="2">
        <v>8</v>
      </c>
      <c r="Z284" s="2">
        <v>44</v>
      </c>
      <c r="AA284" s="2">
        <v>5</v>
      </c>
      <c r="AB284" s="2">
        <v>3</v>
      </c>
      <c r="AC284" s="2">
        <v>1</v>
      </c>
      <c r="AD284" s="2">
        <v>1</v>
      </c>
      <c r="AE284" s="2" t="s">
        <v>0</v>
      </c>
      <c r="AF284" s="2">
        <v>12</v>
      </c>
      <c r="AG284" s="2" t="s">
        <v>49</v>
      </c>
    </row>
    <row r="285" spans="1:33" ht="76.5" x14ac:dyDescent="0.2">
      <c r="A285" s="5" t="str">
        <f>HYPERLINK("http://www.patentics.cn/invokexml.do?sf=ShowPatent&amp;spn=US8886190&amp;sv=accdd99c2216fc98d326216297465038","US8886190")</f>
        <v>US8886190</v>
      </c>
      <c r="B285" s="3" t="s">
        <v>906</v>
      </c>
      <c r="C285" s="3" t="s">
        <v>907</v>
      </c>
      <c r="D285" s="3" t="s">
        <v>52</v>
      </c>
      <c r="E285" s="3" t="s">
        <v>52</v>
      </c>
      <c r="F285" s="3" t="s">
        <v>908</v>
      </c>
      <c r="G285" s="3" t="s">
        <v>454</v>
      </c>
      <c r="H285" s="3" t="s">
        <v>909</v>
      </c>
      <c r="I285" s="3" t="s">
        <v>910</v>
      </c>
      <c r="J285" s="3" t="s">
        <v>196</v>
      </c>
      <c r="K285" s="3" t="s">
        <v>82</v>
      </c>
      <c r="L285" s="3" t="s">
        <v>911</v>
      </c>
      <c r="M285" s="3" t="s">
        <v>82</v>
      </c>
      <c r="N285" s="3" t="s">
        <v>799</v>
      </c>
      <c r="O285" s="3">
        <v>0</v>
      </c>
      <c r="P285" s="3">
        <v>10</v>
      </c>
      <c r="Q285" s="3" t="s">
        <v>60</v>
      </c>
      <c r="R285" s="3" t="s">
        <v>61</v>
      </c>
      <c r="S285" s="3">
        <v>235</v>
      </c>
      <c r="T285" s="3">
        <v>51</v>
      </c>
      <c r="U285" s="3">
        <v>184</v>
      </c>
      <c r="V285" s="3">
        <v>63</v>
      </c>
      <c r="W285" s="3">
        <v>4</v>
      </c>
      <c r="X285" s="3" t="s">
        <v>912</v>
      </c>
      <c r="Y285" s="3">
        <v>3</v>
      </c>
      <c r="Z285" s="3">
        <v>1</v>
      </c>
      <c r="AA285" s="3">
        <v>2</v>
      </c>
      <c r="AB285" s="3">
        <v>1</v>
      </c>
      <c r="AC285" s="3">
        <v>7</v>
      </c>
      <c r="AD285" s="3">
        <v>6</v>
      </c>
      <c r="AE285" s="3">
        <v>14</v>
      </c>
      <c r="AF285" s="3" t="s">
        <v>0</v>
      </c>
      <c r="AG285" s="3" t="s">
        <v>49</v>
      </c>
    </row>
    <row r="286" spans="1:33" ht="89.25" x14ac:dyDescent="0.2">
      <c r="A286" s="5" t="str">
        <f>HYPERLINK("http://www.patentics.cn/invokexml.do?sf=ShowPatent&amp;spn=US8942192&amp;sv=87109fc2ff2f4e42f1db86db68428e2e","US8942192")</f>
        <v>US8942192</v>
      </c>
      <c r="B286" s="3" t="s">
        <v>913</v>
      </c>
      <c r="C286" s="3" t="s">
        <v>914</v>
      </c>
      <c r="D286" s="3" t="s">
        <v>52</v>
      </c>
      <c r="E286" s="3" t="s">
        <v>52</v>
      </c>
      <c r="F286" s="3" t="s">
        <v>915</v>
      </c>
      <c r="G286" s="3" t="s">
        <v>454</v>
      </c>
      <c r="H286" s="3" t="s">
        <v>916</v>
      </c>
      <c r="I286" s="3" t="s">
        <v>917</v>
      </c>
      <c r="J286" s="3" t="s">
        <v>918</v>
      </c>
      <c r="K286" s="3" t="s">
        <v>82</v>
      </c>
      <c r="L286" s="3" t="s">
        <v>244</v>
      </c>
      <c r="M286" s="3" t="s">
        <v>82</v>
      </c>
      <c r="N286" s="3" t="s">
        <v>919</v>
      </c>
      <c r="O286" s="3">
        <v>0</v>
      </c>
      <c r="P286" s="3">
        <v>18</v>
      </c>
      <c r="Q286" s="3" t="s">
        <v>60</v>
      </c>
      <c r="R286" s="3" t="s">
        <v>61</v>
      </c>
      <c r="S286" s="3">
        <v>248</v>
      </c>
      <c r="T286" s="3">
        <v>52</v>
      </c>
      <c r="U286" s="3">
        <v>196</v>
      </c>
      <c r="V286" s="3">
        <v>64</v>
      </c>
      <c r="W286" s="3">
        <v>17</v>
      </c>
      <c r="X286" s="3" t="s">
        <v>920</v>
      </c>
      <c r="Y286" s="3">
        <v>1</v>
      </c>
      <c r="Z286" s="3">
        <v>16</v>
      </c>
      <c r="AA286" s="3">
        <v>3</v>
      </c>
      <c r="AB286" s="3">
        <v>2</v>
      </c>
      <c r="AC286" s="3">
        <v>26</v>
      </c>
      <c r="AD286" s="3">
        <v>12</v>
      </c>
      <c r="AE286" s="3">
        <v>14</v>
      </c>
      <c r="AF286" s="3" t="s">
        <v>0</v>
      </c>
      <c r="AG286" s="3" t="s">
        <v>49</v>
      </c>
    </row>
    <row r="287" spans="1:33" ht="76.5" x14ac:dyDescent="0.2">
      <c r="A287" s="5" t="str">
        <f>HYPERLINK("http://www.patentics.cn/invokexml.do?sf=ShowPatent&amp;spn=US9106378&amp;sv=109dca1a95e0286c0676843dc271f0e5","US9106378")</f>
        <v>US9106378</v>
      </c>
      <c r="B287" s="3" t="s">
        <v>921</v>
      </c>
      <c r="C287" s="3" t="s">
        <v>922</v>
      </c>
      <c r="D287" s="3" t="s">
        <v>52</v>
      </c>
      <c r="E287" s="3" t="s">
        <v>52</v>
      </c>
      <c r="F287" s="3" t="s">
        <v>923</v>
      </c>
      <c r="G287" s="3" t="s">
        <v>924</v>
      </c>
      <c r="H287" s="3" t="s">
        <v>925</v>
      </c>
      <c r="I287" s="3" t="s">
        <v>926</v>
      </c>
      <c r="J287" s="3" t="s">
        <v>927</v>
      </c>
      <c r="K287" s="3" t="s">
        <v>82</v>
      </c>
      <c r="L287" s="3" t="s">
        <v>226</v>
      </c>
      <c r="M287" s="3" t="s">
        <v>0</v>
      </c>
      <c r="N287" s="3" t="s">
        <v>0</v>
      </c>
      <c r="O287" s="3">
        <v>0</v>
      </c>
      <c r="P287" s="3">
        <v>17</v>
      </c>
      <c r="Q287" s="3" t="s">
        <v>60</v>
      </c>
      <c r="R287" s="3" t="s">
        <v>61</v>
      </c>
      <c r="S287" s="3">
        <v>262</v>
      </c>
      <c r="T287" s="3">
        <v>53</v>
      </c>
      <c r="U287" s="3">
        <v>209</v>
      </c>
      <c r="V287" s="3">
        <v>65</v>
      </c>
      <c r="W287" s="3">
        <v>0</v>
      </c>
      <c r="X287" s="3" t="s">
        <v>147</v>
      </c>
      <c r="Y287" s="3">
        <v>0</v>
      </c>
      <c r="Z287" s="3">
        <v>0</v>
      </c>
      <c r="AA287" s="3">
        <v>0</v>
      </c>
      <c r="AB287" s="3">
        <v>0</v>
      </c>
      <c r="AC287" s="3">
        <v>13</v>
      </c>
      <c r="AD287" s="3">
        <v>7</v>
      </c>
      <c r="AE287" s="3">
        <v>14</v>
      </c>
      <c r="AF287" s="3" t="s">
        <v>0</v>
      </c>
      <c r="AG287" s="3" t="s">
        <v>49</v>
      </c>
    </row>
    <row r="288" spans="1:33" ht="140.25" x14ac:dyDescent="0.2">
      <c r="A288" s="5" t="str">
        <f>HYPERLINK("http://www.patentics.cn/invokexml.do?sf=ShowPatent&amp;spn=US9125072&amp;sv=0a35516ca99592a4263a31d9700485cf","US9125072")</f>
        <v>US9125072</v>
      </c>
      <c r="B288" s="3" t="s">
        <v>928</v>
      </c>
      <c r="C288" s="3" t="s">
        <v>929</v>
      </c>
      <c r="D288" s="3" t="s">
        <v>52</v>
      </c>
      <c r="E288" s="3" t="s">
        <v>52</v>
      </c>
      <c r="F288" s="3" t="s">
        <v>930</v>
      </c>
      <c r="G288" s="3" t="s">
        <v>78</v>
      </c>
      <c r="H288" s="3" t="s">
        <v>931</v>
      </c>
      <c r="I288" s="3" t="s">
        <v>932</v>
      </c>
      <c r="J288" s="3" t="s">
        <v>816</v>
      </c>
      <c r="K288" s="3" t="s">
        <v>82</v>
      </c>
      <c r="L288" s="3" t="s">
        <v>226</v>
      </c>
      <c r="M288" s="3" t="s">
        <v>0</v>
      </c>
      <c r="N288" s="3" t="s">
        <v>0</v>
      </c>
      <c r="O288" s="3">
        <v>0</v>
      </c>
      <c r="P288" s="3">
        <v>11</v>
      </c>
      <c r="Q288" s="3" t="s">
        <v>60</v>
      </c>
      <c r="R288" s="3" t="s">
        <v>61</v>
      </c>
      <c r="S288" s="3">
        <v>274</v>
      </c>
      <c r="T288" s="3">
        <v>55</v>
      </c>
      <c r="U288" s="3">
        <v>219</v>
      </c>
      <c r="V288" s="3">
        <v>64</v>
      </c>
      <c r="W288" s="3">
        <v>8</v>
      </c>
      <c r="X288" s="3" t="s">
        <v>933</v>
      </c>
      <c r="Y288" s="3">
        <v>1</v>
      </c>
      <c r="Z288" s="3">
        <v>7</v>
      </c>
      <c r="AA288" s="3">
        <v>2</v>
      </c>
      <c r="AB288" s="3">
        <v>2</v>
      </c>
      <c r="AC288" s="3">
        <v>22</v>
      </c>
      <c r="AD288" s="3">
        <v>11</v>
      </c>
      <c r="AE288" s="3">
        <v>14</v>
      </c>
      <c r="AF288" s="3" t="s">
        <v>0</v>
      </c>
      <c r="AG288" s="3" t="s">
        <v>49</v>
      </c>
    </row>
    <row r="289" spans="1:33" ht="102" x14ac:dyDescent="0.2">
      <c r="A289" s="5" t="str">
        <f>HYPERLINK("http://www.patentics.cn/invokexml.do?sf=ShowPatent&amp;spn=US9144037&amp;sv=1b44d15f404b6823ede5c41f2168ed63","US9144037")</f>
        <v>US9144037</v>
      </c>
      <c r="B289" s="3" t="s">
        <v>934</v>
      </c>
      <c r="C289" s="3" t="s">
        <v>935</v>
      </c>
      <c r="D289" s="3" t="s">
        <v>52</v>
      </c>
      <c r="E289" s="3" t="s">
        <v>52</v>
      </c>
      <c r="F289" s="3" t="s">
        <v>936</v>
      </c>
      <c r="G289" s="3" t="s">
        <v>937</v>
      </c>
      <c r="H289" s="3" t="s">
        <v>938</v>
      </c>
      <c r="I289" s="3" t="s">
        <v>939</v>
      </c>
      <c r="J289" s="3" t="s">
        <v>240</v>
      </c>
      <c r="K289" s="3" t="s">
        <v>84</v>
      </c>
      <c r="L289" s="3" t="s">
        <v>163</v>
      </c>
      <c r="M289" s="3" t="s">
        <v>82</v>
      </c>
      <c r="N289" s="3" t="s">
        <v>940</v>
      </c>
      <c r="O289" s="3">
        <v>0</v>
      </c>
      <c r="P289" s="3">
        <v>15</v>
      </c>
      <c r="Q289" s="3" t="s">
        <v>60</v>
      </c>
      <c r="R289" s="3" t="s">
        <v>61</v>
      </c>
      <c r="S289" s="3">
        <v>276</v>
      </c>
      <c r="T289" s="3">
        <v>53</v>
      </c>
      <c r="U289" s="3">
        <v>223</v>
      </c>
      <c r="V289" s="3">
        <v>65</v>
      </c>
      <c r="W289" s="3">
        <v>0</v>
      </c>
      <c r="X289" s="3" t="s">
        <v>147</v>
      </c>
      <c r="Y289" s="3">
        <v>0</v>
      </c>
      <c r="Z289" s="3">
        <v>0</v>
      </c>
      <c r="AA289" s="3">
        <v>0</v>
      </c>
      <c r="AB289" s="3">
        <v>0</v>
      </c>
      <c r="AC289" s="3">
        <v>15</v>
      </c>
      <c r="AD289" s="3">
        <v>7</v>
      </c>
      <c r="AE289" s="3">
        <v>14</v>
      </c>
      <c r="AF289" s="3" t="s">
        <v>0</v>
      </c>
      <c r="AG289" s="3" t="s">
        <v>49</v>
      </c>
    </row>
    <row r="290" spans="1:33" ht="229.5" x14ac:dyDescent="0.2">
      <c r="A290" s="5" t="str">
        <f>HYPERLINK("http://www.patentics.cn/invokexml.do?sf=ShowPatent&amp;spn=US9226288&amp;sv=50d74d97714cc499dcdeeea75ddcc1b9","US9226288")</f>
        <v>US9226288</v>
      </c>
      <c r="B290" s="3" t="s">
        <v>941</v>
      </c>
      <c r="C290" s="3" t="s">
        <v>942</v>
      </c>
      <c r="D290" s="3" t="s">
        <v>52</v>
      </c>
      <c r="E290" s="3" t="s">
        <v>52</v>
      </c>
      <c r="F290" s="3" t="s">
        <v>943</v>
      </c>
      <c r="G290" s="3" t="s">
        <v>944</v>
      </c>
      <c r="H290" s="3" t="s">
        <v>931</v>
      </c>
      <c r="I290" s="3" t="s">
        <v>932</v>
      </c>
      <c r="J290" s="3" t="s">
        <v>294</v>
      </c>
      <c r="K290" s="3" t="s">
        <v>82</v>
      </c>
      <c r="L290" s="3" t="s">
        <v>83</v>
      </c>
      <c r="M290" s="3" t="s">
        <v>82</v>
      </c>
      <c r="N290" s="3" t="s">
        <v>945</v>
      </c>
      <c r="O290" s="3">
        <v>0</v>
      </c>
      <c r="P290" s="3">
        <v>15</v>
      </c>
      <c r="Q290" s="3" t="s">
        <v>60</v>
      </c>
      <c r="R290" s="3" t="s">
        <v>61</v>
      </c>
      <c r="S290" s="3">
        <v>278</v>
      </c>
      <c r="T290" s="3">
        <v>55</v>
      </c>
      <c r="U290" s="3">
        <v>223</v>
      </c>
      <c r="V290" s="3">
        <v>65</v>
      </c>
      <c r="W290" s="3">
        <v>0</v>
      </c>
      <c r="X290" s="3" t="s">
        <v>147</v>
      </c>
      <c r="Y290" s="3">
        <v>0</v>
      </c>
      <c r="Z290" s="3">
        <v>0</v>
      </c>
      <c r="AA290" s="3">
        <v>0</v>
      </c>
      <c r="AB290" s="3">
        <v>0</v>
      </c>
      <c r="AC290" s="3">
        <v>8</v>
      </c>
      <c r="AD290" s="3">
        <v>6</v>
      </c>
      <c r="AE290" s="3">
        <v>14</v>
      </c>
      <c r="AF290" s="3" t="s">
        <v>0</v>
      </c>
      <c r="AG290" s="3" t="s">
        <v>49</v>
      </c>
    </row>
    <row r="291" spans="1:33" ht="76.5" x14ac:dyDescent="0.2">
      <c r="A291" s="5" t="str">
        <f>HYPERLINK("http://www.patentics.cn/invokexml.do?sf=ShowPatent&amp;spn=US9271167&amp;sv=e401f5289229974ed8a94cd08f8a9054","US9271167")</f>
        <v>US9271167</v>
      </c>
      <c r="B291" s="3" t="s">
        <v>953</v>
      </c>
      <c r="C291" s="3" t="s">
        <v>954</v>
      </c>
      <c r="D291" s="3" t="s">
        <v>52</v>
      </c>
      <c r="E291" s="3" t="s">
        <v>52</v>
      </c>
      <c r="F291" s="3" t="s">
        <v>955</v>
      </c>
      <c r="G291" s="3" t="s">
        <v>956</v>
      </c>
      <c r="H291" s="3" t="s">
        <v>931</v>
      </c>
      <c r="I291" s="3" t="s">
        <v>957</v>
      </c>
      <c r="J291" s="3" t="s">
        <v>669</v>
      </c>
      <c r="K291" s="3" t="s">
        <v>82</v>
      </c>
      <c r="L291" s="3" t="s">
        <v>806</v>
      </c>
      <c r="M291" s="3" t="s">
        <v>82</v>
      </c>
      <c r="N291" s="3" t="s">
        <v>958</v>
      </c>
      <c r="O291" s="3">
        <v>0</v>
      </c>
      <c r="P291" s="3">
        <v>16</v>
      </c>
      <c r="Q291" s="3" t="s">
        <v>60</v>
      </c>
      <c r="R291" s="3" t="s">
        <v>61</v>
      </c>
      <c r="S291" s="3">
        <v>279</v>
      </c>
      <c r="T291" s="3">
        <v>55</v>
      </c>
      <c r="U291" s="3">
        <v>224</v>
      </c>
      <c r="V291" s="3">
        <v>65</v>
      </c>
      <c r="W291" s="3">
        <v>21</v>
      </c>
      <c r="X291" s="3" t="s">
        <v>108</v>
      </c>
      <c r="Y291" s="3">
        <v>0</v>
      </c>
      <c r="Z291" s="3">
        <v>21</v>
      </c>
      <c r="AA291" s="3">
        <v>1</v>
      </c>
      <c r="AB291" s="3">
        <v>2</v>
      </c>
      <c r="AC291" s="3">
        <v>20</v>
      </c>
      <c r="AD291" s="3">
        <v>13</v>
      </c>
      <c r="AE291" s="3">
        <v>14</v>
      </c>
      <c r="AF291" s="3" t="s">
        <v>0</v>
      </c>
      <c r="AG291" s="3" t="s">
        <v>49</v>
      </c>
    </row>
    <row r="292" spans="1:33" ht="76.5" x14ac:dyDescent="0.2">
      <c r="A292" s="5" t="str">
        <f>HYPERLINK("http://www.patentics.cn/invokexml.do?sf=ShowPatent&amp;spn=US9277566&amp;sv=1e06c5731d657aed16e04b24a7f25f6b","US9277566")</f>
        <v>US9277566</v>
      </c>
      <c r="B292" s="3" t="s">
        <v>959</v>
      </c>
      <c r="C292" s="3" t="s">
        <v>960</v>
      </c>
      <c r="D292" s="3" t="s">
        <v>52</v>
      </c>
      <c r="E292" s="3" t="s">
        <v>52</v>
      </c>
      <c r="F292" s="3" t="s">
        <v>961</v>
      </c>
      <c r="G292" s="3" t="s">
        <v>962</v>
      </c>
      <c r="H292" s="3" t="s">
        <v>963</v>
      </c>
      <c r="I292" s="3" t="s">
        <v>964</v>
      </c>
      <c r="J292" s="3" t="s">
        <v>965</v>
      </c>
      <c r="K292" s="3" t="s">
        <v>82</v>
      </c>
      <c r="L292" s="3" t="s">
        <v>83</v>
      </c>
      <c r="M292" s="3" t="s">
        <v>82</v>
      </c>
      <c r="N292" s="3" t="s">
        <v>966</v>
      </c>
      <c r="O292" s="3">
        <v>0</v>
      </c>
      <c r="P292" s="3">
        <v>10</v>
      </c>
      <c r="Q292" s="3" t="s">
        <v>60</v>
      </c>
      <c r="R292" s="3" t="s">
        <v>61</v>
      </c>
      <c r="S292" s="3">
        <v>279</v>
      </c>
      <c r="T292" s="3">
        <v>56</v>
      </c>
      <c r="U292" s="3">
        <v>223</v>
      </c>
      <c r="V292" s="3">
        <v>65</v>
      </c>
      <c r="W292" s="3">
        <v>0</v>
      </c>
      <c r="X292" s="3" t="s">
        <v>147</v>
      </c>
      <c r="Y292" s="3">
        <v>0</v>
      </c>
      <c r="Z292" s="3">
        <v>0</v>
      </c>
      <c r="AA292" s="3">
        <v>0</v>
      </c>
      <c r="AB292" s="3">
        <v>0</v>
      </c>
      <c r="AC292" s="3">
        <v>11</v>
      </c>
      <c r="AD292" s="3">
        <v>7</v>
      </c>
      <c r="AE292" s="3">
        <v>14</v>
      </c>
      <c r="AF292" s="3" t="s">
        <v>0</v>
      </c>
      <c r="AG292" s="3" t="s">
        <v>49</v>
      </c>
    </row>
    <row r="293" spans="1:33" ht="89.25" x14ac:dyDescent="0.2">
      <c r="A293" s="5" t="str">
        <f>HYPERLINK("http://www.patentics.cn/invokexml.do?sf=ShowPatent&amp;spn=US9281932&amp;sv=588db6af75c155f9b117f0850b28fd3c","US9281932")</f>
        <v>US9281932</v>
      </c>
      <c r="B293" s="3" t="s">
        <v>967</v>
      </c>
      <c r="C293" s="3" t="s">
        <v>914</v>
      </c>
      <c r="D293" s="3" t="s">
        <v>52</v>
      </c>
      <c r="E293" s="3" t="s">
        <v>52</v>
      </c>
      <c r="F293" s="3" t="s">
        <v>915</v>
      </c>
      <c r="G293" s="3" t="s">
        <v>454</v>
      </c>
      <c r="H293" s="3" t="s">
        <v>916</v>
      </c>
      <c r="I293" s="3" t="s">
        <v>968</v>
      </c>
      <c r="J293" s="3" t="s">
        <v>683</v>
      </c>
      <c r="K293" s="3" t="s">
        <v>82</v>
      </c>
      <c r="L293" s="3" t="s">
        <v>244</v>
      </c>
      <c r="M293" s="3" t="s">
        <v>58</v>
      </c>
      <c r="N293" s="3" t="s">
        <v>969</v>
      </c>
      <c r="O293" s="3">
        <v>0</v>
      </c>
      <c r="P293" s="3">
        <v>16</v>
      </c>
      <c r="Q293" s="3" t="s">
        <v>60</v>
      </c>
      <c r="R293" s="3" t="s">
        <v>61</v>
      </c>
      <c r="S293" s="3">
        <v>276</v>
      </c>
      <c r="T293" s="3">
        <v>54</v>
      </c>
      <c r="U293" s="3">
        <v>222</v>
      </c>
      <c r="V293" s="3">
        <v>64</v>
      </c>
      <c r="W293" s="3">
        <v>14</v>
      </c>
      <c r="X293" s="3" t="s">
        <v>147</v>
      </c>
      <c r="Y293" s="3">
        <v>0</v>
      </c>
      <c r="Z293" s="3">
        <v>14</v>
      </c>
      <c r="AA293" s="3">
        <v>0</v>
      </c>
      <c r="AB293" s="3">
        <v>1</v>
      </c>
      <c r="AC293" s="3">
        <v>26</v>
      </c>
      <c r="AD293" s="3">
        <v>12</v>
      </c>
      <c r="AE293" s="3">
        <v>14</v>
      </c>
      <c r="AF293" s="3" t="s">
        <v>0</v>
      </c>
      <c r="AG293" s="3" t="s">
        <v>49</v>
      </c>
    </row>
    <row r="294" spans="1:33" ht="140.25" x14ac:dyDescent="0.2">
      <c r="A294" s="5" t="str">
        <f>HYPERLINK("http://www.patentics.cn/invokexml.do?sf=ShowPatent&amp;spn=US9282472&amp;sv=12573b5a134f751a53fd2109d243d1ed","US9282472")</f>
        <v>US9282472</v>
      </c>
      <c r="B294" s="3" t="s">
        <v>970</v>
      </c>
      <c r="C294" s="3" t="s">
        <v>971</v>
      </c>
      <c r="D294" s="3" t="s">
        <v>52</v>
      </c>
      <c r="E294" s="3" t="s">
        <v>52</v>
      </c>
      <c r="F294" s="3" t="s">
        <v>930</v>
      </c>
      <c r="G294" s="3" t="s">
        <v>78</v>
      </c>
      <c r="H294" s="3" t="s">
        <v>931</v>
      </c>
      <c r="I294" s="3" t="s">
        <v>972</v>
      </c>
      <c r="J294" s="3" t="s">
        <v>683</v>
      </c>
      <c r="K294" s="3" t="s">
        <v>82</v>
      </c>
      <c r="L294" s="3" t="s">
        <v>226</v>
      </c>
      <c r="M294" s="3" t="s">
        <v>82</v>
      </c>
      <c r="N294" s="3" t="s">
        <v>958</v>
      </c>
      <c r="O294" s="3">
        <v>0</v>
      </c>
      <c r="P294" s="3">
        <v>10</v>
      </c>
      <c r="Q294" s="3" t="s">
        <v>60</v>
      </c>
      <c r="R294" s="3" t="s">
        <v>61</v>
      </c>
      <c r="S294" s="3">
        <v>286</v>
      </c>
      <c r="T294" s="3">
        <v>62</v>
      </c>
      <c r="U294" s="3">
        <v>224</v>
      </c>
      <c r="V294" s="3">
        <v>65</v>
      </c>
      <c r="W294" s="3">
        <v>6</v>
      </c>
      <c r="X294" s="3" t="s">
        <v>147</v>
      </c>
      <c r="Y294" s="3">
        <v>0</v>
      </c>
      <c r="Z294" s="3">
        <v>6</v>
      </c>
      <c r="AA294" s="3">
        <v>0</v>
      </c>
      <c r="AB294" s="3">
        <v>1</v>
      </c>
      <c r="AC294" s="3">
        <v>22</v>
      </c>
      <c r="AD294" s="3">
        <v>11</v>
      </c>
      <c r="AE294" s="3">
        <v>14</v>
      </c>
      <c r="AF294" s="3" t="s">
        <v>0</v>
      </c>
      <c r="AG294" s="3" t="s">
        <v>49</v>
      </c>
    </row>
    <row r="295" spans="1:33" ht="255" x14ac:dyDescent="0.2">
      <c r="A295" s="5" t="str">
        <f>HYPERLINK("http://www.patentics.cn/invokexml.do?sf=ShowPatent&amp;spn=US9392608&amp;sv=08c237f9c4d3167556ddb89b7357ba3e","US9392608")</f>
        <v>US9392608</v>
      </c>
      <c r="B295" s="3" t="s">
        <v>973</v>
      </c>
      <c r="C295" s="3" t="s">
        <v>974</v>
      </c>
      <c r="D295" s="3" t="s">
        <v>52</v>
      </c>
      <c r="E295" s="3" t="s">
        <v>52</v>
      </c>
      <c r="F295" s="3" t="s">
        <v>975</v>
      </c>
      <c r="G295" s="3" t="s">
        <v>956</v>
      </c>
      <c r="H295" s="3" t="s">
        <v>931</v>
      </c>
      <c r="I295" s="3" t="s">
        <v>932</v>
      </c>
      <c r="J295" s="3" t="s">
        <v>976</v>
      </c>
      <c r="K295" s="3" t="s">
        <v>82</v>
      </c>
      <c r="L295" s="3" t="s">
        <v>226</v>
      </c>
      <c r="M295" s="3" t="s">
        <v>82</v>
      </c>
      <c r="N295" s="3" t="s">
        <v>977</v>
      </c>
      <c r="O295" s="3">
        <v>0</v>
      </c>
      <c r="P295" s="3">
        <v>15</v>
      </c>
      <c r="Q295" s="3" t="s">
        <v>60</v>
      </c>
      <c r="R295" s="3" t="s">
        <v>61</v>
      </c>
      <c r="S295" s="3">
        <v>285</v>
      </c>
      <c r="T295" s="3">
        <v>55</v>
      </c>
      <c r="U295" s="3">
        <v>230</v>
      </c>
      <c r="V295" s="3">
        <v>66</v>
      </c>
      <c r="W295" s="3">
        <v>0</v>
      </c>
      <c r="X295" s="3" t="s">
        <v>147</v>
      </c>
      <c r="Y295" s="3">
        <v>0</v>
      </c>
      <c r="Z295" s="3">
        <v>0</v>
      </c>
      <c r="AA295" s="3">
        <v>0</v>
      </c>
      <c r="AB295" s="3">
        <v>0</v>
      </c>
      <c r="AC295" s="3">
        <v>16</v>
      </c>
      <c r="AD295" s="3">
        <v>10</v>
      </c>
      <c r="AE295" s="3">
        <v>14</v>
      </c>
      <c r="AF295" s="3" t="s">
        <v>0</v>
      </c>
      <c r="AG295" s="3" t="s">
        <v>49</v>
      </c>
    </row>
    <row r="296" spans="1:33" ht="38.25" x14ac:dyDescent="0.2">
      <c r="A296" s="5" t="str">
        <f>HYPERLINK("http://www.patentics.cn/invokexml.do?sf=ShowPatent&amp;spn=CN102498746B&amp;sv=7a2d74bf91c2e2f1c2a0c7bea79b6394","CN102498746B")</f>
        <v>CN102498746B</v>
      </c>
      <c r="B296" s="3" t="s">
        <v>1303</v>
      </c>
      <c r="C296" s="3" t="s">
        <v>1304</v>
      </c>
      <c r="D296" s="3" t="s">
        <v>338</v>
      </c>
      <c r="E296" s="3" t="s">
        <v>338</v>
      </c>
      <c r="F296" s="3" t="s">
        <v>1305</v>
      </c>
      <c r="G296" s="3" t="s">
        <v>1306</v>
      </c>
      <c r="H296" s="3" t="s">
        <v>1307</v>
      </c>
      <c r="I296" s="3" t="s">
        <v>1308</v>
      </c>
      <c r="J296" s="3" t="s">
        <v>1309</v>
      </c>
      <c r="K296" s="3" t="s">
        <v>82</v>
      </c>
      <c r="L296" s="3" t="s">
        <v>1310</v>
      </c>
      <c r="M296" s="3" t="s">
        <v>0</v>
      </c>
      <c r="N296" s="3" t="s">
        <v>0</v>
      </c>
      <c r="O296" s="3">
        <v>45</v>
      </c>
      <c r="P296" s="3">
        <v>17</v>
      </c>
      <c r="Q296" s="3" t="s">
        <v>60</v>
      </c>
      <c r="R296" s="3" t="s">
        <v>61</v>
      </c>
      <c r="S296" s="3">
        <v>2</v>
      </c>
      <c r="T296" s="3">
        <v>0</v>
      </c>
      <c r="U296" s="3">
        <v>2</v>
      </c>
      <c r="V296" s="3">
        <v>2</v>
      </c>
      <c r="W296" s="3">
        <v>0</v>
      </c>
      <c r="X296" s="3" t="s">
        <v>147</v>
      </c>
      <c r="Y296" s="3">
        <v>0</v>
      </c>
      <c r="Z296" s="3">
        <v>0</v>
      </c>
      <c r="AA296" s="3">
        <v>0</v>
      </c>
      <c r="AB296" s="3">
        <v>0</v>
      </c>
      <c r="AC296" s="3">
        <v>11</v>
      </c>
      <c r="AD296" s="3">
        <v>7</v>
      </c>
      <c r="AE296" s="3">
        <v>14</v>
      </c>
      <c r="AF296" s="3" t="s">
        <v>0</v>
      </c>
      <c r="AG296" s="3" t="s">
        <v>49</v>
      </c>
    </row>
    <row r="297" spans="1:33" ht="140.25" x14ac:dyDescent="0.2">
      <c r="A297" s="4" t="str">
        <f>HYPERLINK("http://www.patentics.cn/invokexml.do?sf=ShowPatent&amp;spn=US20060062196&amp;sv=937f2a8719d86a99812ed5a083d42a7c","US20060062196")</f>
        <v>US20060062196</v>
      </c>
      <c r="B297" s="2" t="s">
        <v>1311</v>
      </c>
      <c r="C297" s="2" t="s">
        <v>1312</v>
      </c>
      <c r="D297" s="2" t="s">
        <v>346</v>
      </c>
      <c r="E297" s="2" t="s">
        <v>346</v>
      </c>
      <c r="F297" s="2" t="s">
        <v>1313</v>
      </c>
      <c r="G297" s="2" t="s">
        <v>1314</v>
      </c>
      <c r="H297" s="2" t="s">
        <v>1315</v>
      </c>
      <c r="I297" s="2" t="s">
        <v>1316</v>
      </c>
      <c r="J297" s="2" t="s">
        <v>1317</v>
      </c>
      <c r="K297" s="2" t="s">
        <v>70</v>
      </c>
      <c r="L297" s="2" t="s">
        <v>467</v>
      </c>
      <c r="M297" s="2" t="s">
        <v>0</v>
      </c>
      <c r="N297" s="2" t="s">
        <v>0</v>
      </c>
      <c r="O297" s="2">
        <v>54</v>
      </c>
      <c r="P297" s="2">
        <v>15</v>
      </c>
      <c r="Q297" s="2" t="s">
        <v>352</v>
      </c>
      <c r="R297" s="2" t="s">
        <v>61</v>
      </c>
      <c r="S297" s="2">
        <v>0</v>
      </c>
      <c r="T297" s="2">
        <v>0</v>
      </c>
      <c r="U297" s="2">
        <v>0</v>
      </c>
      <c r="V297" s="2">
        <v>0</v>
      </c>
      <c r="W297" s="2">
        <v>103</v>
      </c>
      <c r="X297" s="2" t="s">
        <v>1318</v>
      </c>
      <c r="Y297" s="2">
        <v>0</v>
      </c>
      <c r="Z297" s="2">
        <v>103</v>
      </c>
      <c r="AA297" s="2">
        <v>28</v>
      </c>
      <c r="AB297" s="2">
        <v>7</v>
      </c>
      <c r="AC297" s="2">
        <v>16</v>
      </c>
      <c r="AD297" s="2">
        <v>6</v>
      </c>
      <c r="AE297" s="2" t="s">
        <v>0</v>
      </c>
      <c r="AF297" s="2">
        <v>12</v>
      </c>
      <c r="AG297" s="2" t="s">
        <v>49</v>
      </c>
    </row>
    <row r="298" spans="1:33" ht="153" x14ac:dyDescent="0.2">
      <c r="A298" s="5" t="str">
        <f>HYPERLINK("http://www.patentics.cn/invokexml.do?sf=ShowPatent&amp;spn=US7852822&amp;sv=22ba22fbffa1d913b0ec262a1c932062","US7852822")</f>
        <v>US7852822</v>
      </c>
      <c r="B298" s="3" t="s">
        <v>1319</v>
      </c>
      <c r="C298" s="3" t="s">
        <v>1320</v>
      </c>
      <c r="D298" s="3" t="s">
        <v>52</v>
      </c>
      <c r="E298" s="3" t="s">
        <v>52</v>
      </c>
      <c r="F298" s="3" t="s">
        <v>1321</v>
      </c>
      <c r="G298" s="3" t="s">
        <v>1322</v>
      </c>
      <c r="H298" s="3" t="s">
        <v>233</v>
      </c>
      <c r="I298" s="3" t="s">
        <v>233</v>
      </c>
      <c r="J298" s="3" t="s">
        <v>1323</v>
      </c>
      <c r="K298" s="3" t="s">
        <v>70</v>
      </c>
      <c r="L298" s="3" t="s">
        <v>264</v>
      </c>
      <c r="M298" s="3" t="s">
        <v>58</v>
      </c>
      <c r="N298" s="3" t="s">
        <v>335</v>
      </c>
      <c r="O298" s="3">
        <v>0</v>
      </c>
      <c r="P298" s="3">
        <v>18</v>
      </c>
      <c r="Q298" s="3" t="s">
        <v>60</v>
      </c>
      <c r="R298" s="3" t="s">
        <v>61</v>
      </c>
      <c r="S298" s="3">
        <v>43</v>
      </c>
      <c r="T298" s="3">
        <v>6</v>
      </c>
      <c r="U298" s="3">
        <v>37</v>
      </c>
      <c r="V298" s="3">
        <v>20</v>
      </c>
      <c r="W298" s="3">
        <v>2</v>
      </c>
      <c r="X298" s="3" t="s">
        <v>129</v>
      </c>
      <c r="Y298" s="3">
        <v>2</v>
      </c>
      <c r="Z298" s="3">
        <v>0</v>
      </c>
      <c r="AA298" s="3">
        <v>1</v>
      </c>
      <c r="AB298" s="3">
        <v>1</v>
      </c>
      <c r="AC298" s="3">
        <v>22</v>
      </c>
      <c r="AD298" s="3">
        <v>14</v>
      </c>
      <c r="AE298" s="3">
        <v>14</v>
      </c>
      <c r="AF298" s="3" t="s">
        <v>0</v>
      </c>
      <c r="AG298" s="3" t="s">
        <v>49</v>
      </c>
    </row>
    <row r="299" spans="1:33" ht="63.75" x14ac:dyDescent="0.2">
      <c r="A299" s="5" t="str">
        <f>HYPERLINK("http://www.patentics.cn/invokexml.do?sf=ShowPatent&amp;spn=US8265178&amp;sv=fa580b65c6438514a5783ad1722d55b8","US8265178")</f>
        <v>US8265178</v>
      </c>
      <c r="B299" s="3" t="s">
        <v>1324</v>
      </c>
      <c r="C299" s="3" t="s">
        <v>1325</v>
      </c>
      <c r="D299" s="3" t="s">
        <v>52</v>
      </c>
      <c r="E299" s="3" t="s">
        <v>52</v>
      </c>
      <c r="F299" s="3" t="s">
        <v>1326</v>
      </c>
      <c r="G299" s="3" t="s">
        <v>1327</v>
      </c>
      <c r="H299" s="3" t="s">
        <v>1328</v>
      </c>
      <c r="I299" s="3" t="s">
        <v>1329</v>
      </c>
      <c r="J299" s="3" t="s">
        <v>1330</v>
      </c>
      <c r="K299" s="3" t="s">
        <v>58</v>
      </c>
      <c r="L299" s="3" t="s">
        <v>1331</v>
      </c>
      <c r="M299" s="3" t="s">
        <v>58</v>
      </c>
      <c r="N299" s="3" t="s">
        <v>330</v>
      </c>
      <c r="O299" s="3">
        <v>0</v>
      </c>
      <c r="P299" s="3">
        <v>10</v>
      </c>
      <c r="Q299" s="3" t="s">
        <v>60</v>
      </c>
      <c r="R299" s="3" t="s">
        <v>61</v>
      </c>
      <c r="S299" s="3">
        <v>35</v>
      </c>
      <c r="T299" s="3">
        <v>8</v>
      </c>
      <c r="U299" s="3">
        <v>27</v>
      </c>
      <c r="V299" s="3">
        <v>18</v>
      </c>
      <c r="W299" s="3">
        <v>0</v>
      </c>
      <c r="X299" s="3" t="s">
        <v>147</v>
      </c>
      <c r="Y299" s="3">
        <v>0</v>
      </c>
      <c r="Z299" s="3">
        <v>0</v>
      </c>
      <c r="AA299" s="3">
        <v>0</v>
      </c>
      <c r="AB299" s="3">
        <v>0</v>
      </c>
      <c r="AC299" s="3">
        <v>28</v>
      </c>
      <c r="AD299" s="3">
        <v>10</v>
      </c>
      <c r="AE299" s="3">
        <v>14</v>
      </c>
      <c r="AF299" s="3" t="s">
        <v>0</v>
      </c>
      <c r="AG299" s="3" t="s">
        <v>49</v>
      </c>
    </row>
    <row r="300" spans="1:33" ht="63.75" x14ac:dyDescent="0.2">
      <c r="A300" s="5" t="str">
        <f>HYPERLINK("http://www.patentics.cn/invokexml.do?sf=ShowPatent&amp;spn=US8532201&amp;sv=84b8243a7427c43d688706b2cb719b71","US8532201")</f>
        <v>US8532201</v>
      </c>
      <c r="B300" s="3" t="s">
        <v>1332</v>
      </c>
      <c r="C300" s="3" t="s">
        <v>1333</v>
      </c>
      <c r="D300" s="3" t="s">
        <v>52</v>
      </c>
      <c r="E300" s="3" t="s">
        <v>52</v>
      </c>
      <c r="F300" s="3" t="s">
        <v>1334</v>
      </c>
      <c r="G300" s="3" t="s">
        <v>1335</v>
      </c>
      <c r="H300" s="3" t="s">
        <v>1336</v>
      </c>
      <c r="I300" s="3" t="s">
        <v>1336</v>
      </c>
      <c r="J300" s="3" t="s">
        <v>1337</v>
      </c>
      <c r="K300" s="3" t="s">
        <v>333</v>
      </c>
      <c r="L300" s="3" t="s">
        <v>334</v>
      </c>
      <c r="M300" s="3" t="s">
        <v>58</v>
      </c>
      <c r="N300" s="3" t="s">
        <v>1338</v>
      </c>
      <c r="O300" s="3">
        <v>0</v>
      </c>
      <c r="P300" s="3">
        <v>13</v>
      </c>
      <c r="Q300" s="3" t="s">
        <v>60</v>
      </c>
      <c r="R300" s="3" t="s">
        <v>61</v>
      </c>
      <c r="S300" s="3">
        <v>56</v>
      </c>
      <c r="T300" s="3">
        <v>9</v>
      </c>
      <c r="U300" s="3">
        <v>47</v>
      </c>
      <c r="V300" s="3">
        <v>30</v>
      </c>
      <c r="W300" s="3">
        <v>0</v>
      </c>
      <c r="X300" s="3" t="s">
        <v>147</v>
      </c>
      <c r="Y300" s="3">
        <v>0</v>
      </c>
      <c r="Z300" s="3">
        <v>0</v>
      </c>
      <c r="AA300" s="3">
        <v>0</v>
      </c>
      <c r="AB300" s="3">
        <v>0</v>
      </c>
      <c r="AC300" s="3">
        <v>17</v>
      </c>
      <c r="AD300" s="3">
        <v>10</v>
      </c>
      <c r="AE300" s="3">
        <v>14</v>
      </c>
      <c r="AF300" s="3" t="s">
        <v>0</v>
      </c>
      <c r="AG300" s="3" t="s">
        <v>49</v>
      </c>
    </row>
    <row r="301" spans="1:33" ht="178.5" x14ac:dyDescent="0.2">
      <c r="A301" s="5" t="str">
        <f>HYPERLINK("http://www.patentics.cn/invokexml.do?sf=ShowPatent&amp;spn=US8537931&amp;sv=b33cd3239f77b84e95d37be7fec936f6","US8537931")</f>
        <v>US8537931</v>
      </c>
      <c r="B301" s="3" t="s">
        <v>1339</v>
      </c>
      <c r="C301" s="3" t="s">
        <v>1340</v>
      </c>
      <c r="D301" s="3" t="s">
        <v>52</v>
      </c>
      <c r="E301" s="3" t="s">
        <v>52</v>
      </c>
      <c r="F301" s="3" t="s">
        <v>1341</v>
      </c>
      <c r="G301" s="3" t="s">
        <v>1335</v>
      </c>
      <c r="H301" s="3" t="s">
        <v>1342</v>
      </c>
      <c r="I301" s="3" t="s">
        <v>1342</v>
      </c>
      <c r="J301" s="3" t="s">
        <v>1343</v>
      </c>
      <c r="K301" s="3" t="s">
        <v>893</v>
      </c>
      <c r="L301" s="3" t="s">
        <v>1344</v>
      </c>
      <c r="M301" s="3" t="s">
        <v>58</v>
      </c>
      <c r="N301" s="3" t="s">
        <v>1338</v>
      </c>
      <c r="O301" s="3">
        <v>0</v>
      </c>
      <c r="P301" s="3">
        <v>12</v>
      </c>
      <c r="Q301" s="3" t="s">
        <v>60</v>
      </c>
      <c r="R301" s="3" t="s">
        <v>61</v>
      </c>
      <c r="S301" s="3">
        <v>56</v>
      </c>
      <c r="T301" s="3">
        <v>9</v>
      </c>
      <c r="U301" s="3">
        <v>47</v>
      </c>
      <c r="V301" s="3">
        <v>30</v>
      </c>
      <c r="W301" s="3">
        <v>1</v>
      </c>
      <c r="X301" s="3" t="s">
        <v>403</v>
      </c>
      <c r="Y301" s="3">
        <v>0</v>
      </c>
      <c r="Z301" s="3">
        <v>1</v>
      </c>
      <c r="AA301" s="3">
        <v>1</v>
      </c>
      <c r="AB301" s="3">
        <v>1</v>
      </c>
      <c r="AC301" s="3">
        <v>15</v>
      </c>
      <c r="AD301" s="3">
        <v>9</v>
      </c>
      <c r="AE301" s="3">
        <v>14</v>
      </c>
      <c r="AF301" s="3" t="s">
        <v>0</v>
      </c>
      <c r="AG301" s="3" t="s">
        <v>49</v>
      </c>
    </row>
    <row r="302" spans="1:33" ht="38.25" x14ac:dyDescent="0.2">
      <c r="A302" s="5" t="str">
        <f>HYPERLINK("http://www.patentics.cn/invokexml.do?sf=ShowPatent&amp;spn=US8649401&amp;sv=d535edad25aa2bbead28d0c346c5d496","US8649401")</f>
        <v>US8649401</v>
      </c>
      <c r="B302" s="3" t="s">
        <v>1345</v>
      </c>
      <c r="C302" s="3" t="s">
        <v>1346</v>
      </c>
      <c r="D302" s="3" t="s">
        <v>52</v>
      </c>
      <c r="E302" s="3" t="s">
        <v>52</v>
      </c>
      <c r="F302" s="3" t="s">
        <v>1347</v>
      </c>
      <c r="G302" s="3" t="s">
        <v>924</v>
      </c>
      <c r="H302" s="3" t="s">
        <v>1348</v>
      </c>
      <c r="I302" s="3" t="s">
        <v>492</v>
      </c>
      <c r="J302" s="3" t="s">
        <v>1349</v>
      </c>
      <c r="K302" s="3" t="s">
        <v>70</v>
      </c>
      <c r="L302" s="3" t="s">
        <v>1082</v>
      </c>
      <c r="M302" s="3" t="s">
        <v>70</v>
      </c>
      <c r="N302" s="3" t="s">
        <v>1350</v>
      </c>
      <c r="O302" s="3">
        <v>0</v>
      </c>
      <c r="P302" s="3">
        <v>6</v>
      </c>
      <c r="Q302" s="3" t="s">
        <v>60</v>
      </c>
      <c r="R302" s="3" t="s">
        <v>61</v>
      </c>
      <c r="S302" s="3">
        <v>26</v>
      </c>
      <c r="T302" s="3">
        <v>4</v>
      </c>
      <c r="U302" s="3">
        <v>22</v>
      </c>
      <c r="V302" s="3">
        <v>15</v>
      </c>
      <c r="W302" s="3">
        <v>3</v>
      </c>
      <c r="X302" s="3" t="s">
        <v>1351</v>
      </c>
      <c r="Y302" s="3">
        <v>0</v>
      </c>
      <c r="Z302" s="3">
        <v>3</v>
      </c>
      <c r="AA302" s="3">
        <v>2</v>
      </c>
      <c r="AB302" s="3">
        <v>1</v>
      </c>
      <c r="AC302" s="3">
        <v>1</v>
      </c>
      <c r="AD302" s="3">
        <v>1</v>
      </c>
      <c r="AE302" s="3">
        <v>14</v>
      </c>
      <c r="AF302" s="3" t="s">
        <v>0</v>
      </c>
      <c r="AG302" s="3" t="s">
        <v>49</v>
      </c>
    </row>
    <row r="303" spans="1:33" ht="89.25" x14ac:dyDescent="0.2">
      <c r="A303" s="5" t="str">
        <f>HYPERLINK("http://www.patentics.cn/invokexml.do?sf=ShowPatent&amp;spn=US8837380&amp;sv=c7f0648826dd9e7229bbac1d68428d94","US8837380")</f>
        <v>US8837380</v>
      </c>
      <c r="B303" s="3" t="s">
        <v>1352</v>
      </c>
      <c r="C303" s="3" t="s">
        <v>1353</v>
      </c>
      <c r="D303" s="3" t="s">
        <v>52</v>
      </c>
      <c r="E303" s="3" t="s">
        <v>52</v>
      </c>
      <c r="F303" s="3" t="s">
        <v>1354</v>
      </c>
      <c r="G303" s="3" t="s">
        <v>949</v>
      </c>
      <c r="H303" s="3" t="s">
        <v>1355</v>
      </c>
      <c r="I303" s="3" t="s">
        <v>399</v>
      </c>
      <c r="J303" s="3" t="s">
        <v>1045</v>
      </c>
      <c r="K303" s="3" t="s">
        <v>84</v>
      </c>
      <c r="L303" s="3" t="s">
        <v>784</v>
      </c>
      <c r="M303" s="3" t="s">
        <v>70</v>
      </c>
      <c r="N303" s="3" t="s">
        <v>1356</v>
      </c>
      <c r="O303" s="3">
        <v>0</v>
      </c>
      <c r="P303" s="3">
        <v>12</v>
      </c>
      <c r="Q303" s="3" t="s">
        <v>60</v>
      </c>
      <c r="R303" s="3" t="s">
        <v>61</v>
      </c>
      <c r="S303" s="3">
        <v>29</v>
      </c>
      <c r="T303" s="3">
        <v>2</v>
      </c>
      <c r="U303" s="3">
        <v>27</v>
      </c>
      <c r="V303" s="3">
        <v>16</v>
      </c>
      <c r="W303" s="3">
        <v>3</v>
      </c>
      <c r="X303" s="3" t="s">
        <v>580</v>
      </c>
      <c r="Y303" s="3">
        <v>0</v>
      </c>
      <c r="Z303" s="3">
        <v>3</v>
      </c>
      <c r="AA303" s="3">
        <v>3</v>
      </c>
      <c r="AB303" s="3">
        <v>1</v>
      </c>
      <c r="AC303" s="3">
        <v>51</v>
      </c>
      <c r="AD303" s="3">
        <v>17</v>
      </c>
      <c r="AE303" s="3">
        <v>14</v>
      </c>
      <c r="AF303" s="3" t="s">
        <v>0</v>
      </c>
      <c r="AG303" s="3" t="s">
        <v>49</v>
      </c>
    </row>
    <row r="304" spans="1:33" ht="76.5" x14ac:dyDescent="0.2">
      <c r="A304" s="5" t="str">
        <f>HYPERLINK("http://www.patentics.cn/invokexml.do?sf=ShowPatent&amp;spn=US9203466&amp;sv=2849b9f310db79fcda6d88c6ae62ef32","US9203466")</f>
        <v>US9203466</v>
      </c>
      <c r="B304" s="3" t="s">
        <v>1357</v>
      </c>
      <c r="C304" s="3" t="s">
        <v>1358</v>
      </c>
      <c r="D304" s="3" t="s">
        <v>52</v>
      </c>
      <c r="E304" s="3" t="s">
        <v>52</v>
      </c>
      <c r="F304" s="3" t="s">
        <v>1359</v>
      </c>
      <c r="G304" s="3" t="s">
        <v>112</v>
      </c>
      <c r="H304" s="3" t="s">
        <v>1360</v>
      </c>
      <c r="I304" s="3" t="s">
        <v>1361</v>
      </c>
      <c r="J304" s="3" t="s">
        <v>1362</v>
      </c>
      <c r="K304" s="3" t="s">
        <v>82</v>
      </c>
      <c r="L304" s="3" t="s">
        <v>83</v>
      </c>
      <c r="M304" s="3" t="s">
        <v>84</v>
      </c>
      <c r="N304" s="3" t="s">
        <v>1363</v>
      </c>
      <c r="O304" s="3">
        <v>0</v>
      </c>
      <c r="P304" s="3">
        <v>11</v>
      </c>
      <c r="Q304" s="3" t="s">
        <v>60</v>
      </c>
      <c r="R304" s="3" t="s">
        <v>61</v>
      </c>
      <c r="S304" s="3">
        <v>10</v>
      </c>
      <c r="T304" s="3">
        <v>2</v>
      </c>
      <c r="U304" s="3">
        <v>8</v>
      </c>
      <c r="V304" s="3">
        <v>5</v>
      </c>
      <c r="W304" s="3">
        <v>0</v>
      </c>
      <c r="X304" s="3" t="s">
        <v>147</v>
      </c>
      <c r="Y304" s="3">
        <v>0</v>
      </c>
      <c r="Z304" s="3">
        <v>0</v>
      </c>
      <c r="AA304" s="3">
        <v>0</v>
      </c>
      <c r="AB304" s="3">
        <v>0</v>
      </c>
      <c r="AC304" s="3">
        <v>20</v>
      </c>
      <c r="AD304" s="3">
        <v>10</v>
      </c>
      <c r="AE304" s="3">
        <v>14</v>
      </c>
      <c r="AF304" s="3" t="s">
        <v>0</v>
      </c>
      <c r="AG304" s="3" t="s">
        <v>49</v>
      </c>
    </row>
    <row r="305" spans="1:33" ht="153" x14ac:dyDescent="0.2">
      <c r="A305" s="5" t="str">
        <f>HYPERLINK("http://www.patentics.cn/invokexml.do?sf=ShowPatent&amp;spn=US9356752&amp;sv=8be2efb818ee23b98f66e8f32a33c1d1","US9356752")</f>
        <v>US9356752</v>
      </c>
      <c r="B305" s="3" t="s">
        <v>1364</v>
      </c>
      <c r="C305" s="3" t="s">
        <v>1320</v>
      </c>
      <c r="D305" s="3" t="s">
        <v>52</v>
      </c>
      <c r="E305" s="3" t="s">
        <v>52</v>
      </c>
      <c r="F305" s="3" t="s">
        <v>1321</v>
      </c>
      <c r="G305" s="3" t="s">
        <v>1322</v>
      </c>
      <c r="H305" s="3" t="s">
        <v>233</v>
      </c>
      <c r="I305" s="3" t="s">
        <v>1365</v>
      </c>
      <c r="J305" s="3" t="s">
        <v>1366</v>
      </c>
      <c r="K305" s="3" t="s">
        <v>58</v>
      </c>
      <c r="L305" s="3" t="s">
        <v>188</v>
      </c>
      <c r="M305" s="3" t="s">
        <v>58</v>
      </c>
      <c r="N305" s="3" t="s">
        <v>335</v>
      </c>
      <c r="O305" s="3">
        <v>0</v>
      </c>
      <c r="P305" s="3">
        <v>19</v>
      </c>
      <c r="Q305" s="3" t="s">
        <v>60</v>
      </c>
      <c r="R305" s="3" t="s">
        <v>61</v>
      </c>
      <c r="S305" s="3">
        <v>62</v>
      </c>
      <c r="T305" s="3">
        <v>10</v>
      </c>
      <c r="U305" s="3">
        <v>52</v>
      </c>
      <c r="V305" s="3">
        <v>24</v>
      </c>
      <c r="W305" s="3">
        <v>0</v>
      </c>
      <c r="X305" s="3" t="s">
        <v>147</v>
      </c>
      <c r="Y305" s="3">
        <v>0</v>
      </c>
      <c r="Z305" s="3">
        <v>0</v>
      </c>
      <c r="AA305" s="3">
        <v>0</v>
      </c>
      <c r="AB305" s="3">
        <v>0</v>
      </c>
      <c r="AC305" s="3">
        <v>22</v>
      </c>
      <c r="AD305" s="3">
        <v>14</v>
      </c>
      <c r="AE305" s="3">
        <v>14</v>
      </c>
      <c r="AF305" s="3" t="s">
        <v>0</v>
      </c>
      <c r="AG305" s="3" t="s">
        <v>49</v>
      </c>
    </row>
    <row r="306" spans="1:33" ht="89.25" x14ac:dyDescent="0.2">
      <c r="A306" s="5" t="str">
        <f>HYPERLINK("http://www.patentics.cn/invokexml.do?sf=ShowPatent&amp;spn=WO2008070316&amp;sv=3b1f28009feb738fd043c49914a5d9fa","WO2008070316")</f>
        <v>WO2008070316</v>
      </c>
      <c r="B306" s="3" t="s">
        <v>1367</v>
      </c>
      <c r="C306" s="3" t="s">
        <v>1368</v>
      </c>
      <c r="D306" s="3" t="s">
        <v>1369</v>
      </c>
      <c r="E306" s="3" t="s">
        <v>1370</v>
      </c>
      <c r="F306" s="3" t="s">
        <v>1371</v>
      </c>
      <c r="G306" s="3" t="s">
        <v>1372</v>
      </c>
      <c r="H306" s="3" t="s">
        <v>1360</v>
      </c>
      <c r="I306" s="3" t="s">
        <v>1373</v>
      </c>
      <c r="J306" s="3" t="s">
        <v>1374</v>
      </c>
      <c r="K306" s="3" t="s">
        <v>58</v>
      </c>
      <c r="L306" s="3" t="s">
        <v>1375</v>
      </c>
      <c r="M306" s="3" t="s">
        <v>0</v>
      </c>
      <c r="N306" s="3" t="s">
        <v>0</v>
      </c>
      <c r="O306" s="3">
        <v>85</v>
      </c>
      <c r="P306" s="3">
        <v>5</v>
      </c>
      <c r="Q306" s="3" t="s">
        <v>352</v>
      </c>
      <c r="R306" s="3" t="s">
        <v>61</v>
      </c>
      <c r="S306" s="3">
        <v>5</v>
      </c>
      <c r="T306" s="3">
        <v>1</v>
      </c>
      <c r="U306" s="3">
        <v>4</v>
      </c>
      <c r="V306" s="3">
        <v>5</v>
      </c>
      <c r="W306" s="3">
        <v>4</v>
      </c>
      <c r="X306" s="3" t="s">
        <v>1376</v>
      </c>
      <c r="Y306" s="3">
        <v>0</v>
      </c>
      <c r="Z306" s="3">
        <v>4</v>
      </c>
      <c r="AA306" s="3">
        <v>2</v>
      </c>
      <c r="AB306" s="3">
        <v>4</v>
      </c>
      <c r="AC306" s="3">
        <v>22</v>
      </c>
      <c r="AD306" s="3">
        <v>14</v>
      </c>
      <c r="AE306" s="3">
        <v>14</v>
      </c>
      <c r="AF306" s="3" t="s">
        <v>0</v>
      </c>
      <c r="AG306" s="3" t="s">
        <v>0</v>
      </c>
    </row>
    <row r="307" spans="1:33" ht="76.5" x14ac:dyDescent="0.2">
      <c r="A307" s="5" t="str">
        <f>HYPERLINK("http://www.patentics.cn/invokexml.do?sf=ShowPatent&amp;spn=TWI461028&amp;sv=31331de0ed961c987cb5ab82919402b3","TWI461028")</f>
        <v>TWI461028</v>
      </c>
      <c r="B307" s="3" t="s">
        <v>1377</v>
      </c>
      <c r="C307" s="3" t="s">
        <v>1378</v>
      </c>
      <c r="D307" s="3" t="s">
        <v>992</v>
      </c>
      <c r="E307" s="3" t="s">
        <v>338</v>
      </c>
      <c r="F307" s="3" t="s">
        <v>1379</v>
      </c>
      <c r="G307" s="3" t="s">
        <v>1380</v>
      </c>
      <c r="H307" s="3" t="s">
        <v>1360</v>
      </c>
      <c r="I307" s="3" t="s">
        <v>1361</v>
      </c>
      <c r="J307" s="3" t="s">
        <v>196</v>
      </c>
      <c r="K307" s="3" t="s">
        <v>58</v>
      </c>
      <c r="L307" s="3" t="s">
        <v>326</v>
      </c>
      <c r="M307" s="3" t="s">
        <v>0</v>
      </c>
      <c r="N307" s="3" t="s">
        <v>0</v>
      </c>
      <c r="O307" s="3">
        <v>86</v>
      </c>
      <c r="P307" s="3">
        <v>15</v>
      </c>
      <c r="Q307" s="3" t="s">
        <v>60</v>
      </c>
      <c r="R307" s="3" t="s">
        <v>61</v>
      </c>
      <c r="S307" s="3">
        <v>5</v>
      </c>
      <c r="T307" s="3">
        <v>1</v>
      </c>
      <c r="U307" s="3">
        <v>4</v>
      </c>
      <c r="V307" s="3">
        <v>5</v>
      </c>
      <c r="W307" s="3">
        <v>0</v>
      </c>
      <c r="X307" s="3" t="s">
        <v>147</v>
      </c>
      <c r="Y307" s="3">
        <v>0</v>
      </c>
      <c r="Z307" s="3">
        <v>0</v>
      </c>
      <c r="AA307" s="3">
        <v>0</v>
      </c>
      <c r="AB307" s="3">
        <v>0</v>
      </c>
      <c r="AC307" s="3">
        <v>22</v>
      </c>
      <c r="AD307" s="3">
        <v>14</v>
      </c>
      <c r="AE307" s="3">
        <v>14</v>
      </c>
      <c r="AF307" s="3" t="s">
        <v>0</v>
      </c>
      <c r="AG307" s="3" t="s">
        <v>0</v>
      </c>
    </row>
    <row r="308" spans="1:33" ht="102" x14ac:dyDescent="0.2">
      <c r="A308" s="5" t="str">
        <f>HYPERLINK("http://www.patentics.cn/invokexml.do?sf=ShowPatent&amp;spn=WO2008070316A3&amp;sv=3f214f4628b593af739074ad86b18fa0","WO2008070316A3")</f>
        <v>WO2008070316A3</v>
      </c>
      <c r="B308" s="3" t="s">
        <v>1381</v>
      </c>
      <c r="C308" s="3" t="s">
        <v>1382</v>
      </c>
      <c r="D308" s="3" t="s">
        <v>1383</v>
      </c>
      <c r="E308" s="3" t="s">
        <v>1383</v>
      </c>
      <c r="F308" s="3" t="s">
        <v>1384</v>
      </c>
      <c r="G308" s="3" t="s">
        <v>1385</v>
      </c>
      <c r="H308" s="3" t="s">
        <v>1360</v>
      </c>
      <c r="I308" s="3" t="s">
        <v>1360</v>
      </c>
      <c r="J308" s="3" t="s">
        <v>1125</v>
      </c>
      <c r="K308" s="3" t="s">
        <v>58</v>
      </c>
      <c r="L308" s="3" t="s">
        <v>1386</v>
      </c>
      <c r="M308" s="3" t="s">
        <v>58</v>
      </c>
      <c r="N308" s="3" t="s">
        <v>58</v>
      </c>
      <c r="O308" s="3">
        <v>0</v>
      </c>
      <c r="P308" s="3">
        <v>0</v>
      </c>
      <c r="Q308" s="3" t="s">
        <v>352</v>
      </c>
      <c r="R308" s="3" t="s">
        <v>1387</v>
      </c>
      <c r="S308" s="3">
        <v>5</v>
      </c>
      <c r="T308" s="3">
        <v>1</v>
      </c>
      <c r="U308" s="3">
        <v>4</v>
      </c>
      <c r="V308" s="3">
        <v>5</v>
      </c>
      <c r="W308" s="3">
        <v>0</v>
      </c>
      <c r="X308" s="3" t="s">
        <v>147</v>
      </c>
      <c r="Y308" s="3">
        <v>0</v>
      </c>
      <c r="Z308" s="3">
        <v>0</v>
      </c>
      <c r="AA308" s="3">
        <v>0</v>
      </c>
      <c r="AB308" s="3">
        <v>0</v>
      </c>
      <c r="AC308" s="3">
        <v>0</v>
      </c>
      <c r="AD308" s="3">
        <v>0</v>
      </c>
      <c r="AE308" s="3">
        <v>14</v>
      </c>
      <c r="AF308" s="3" t="s">
        <v>0</v>
      </c>
      <c r="AG308" s="3" t="s">
        <v>0</v>
      </c>
    </row>
    <row r="309" spans="1:33" ht="102" x14ac:dyDescent="0.2">
      <c r="A309" s="5" t="str">
        <f>HYPERLINK("http://www.patentics.cn/invokexml.do?sf=ShowPatent&amp;spn=AU2007329731B2&amp;sv=4a6200b4bc6c0cb5d56f251e99542981","AU2007329731B2")</f>
        <v>AU2007329731B2</v>
      </c>
      <c r="B309" s="3" t="s">
        <v>1388</v>
      </c>
      <c r="C309" s="3" t="s">
        <v>1368</v>
      </c>
      <c r="D309" s="3" t="s">
        <v>52</v>
      </c>
      <c r="E309" s="3" t="s">
        <v>52</v>
      </c>
      <c r="F309" s="3" t="s">
        <v>1389</v>
      </c>
      <c r="G309" s="3" t="s">
        <v>1385</v>
      </c>
      <c r="H309" s="3" t="s">
        <v>1360</v>
      </c>
      <c r="I309" s="3" t="s">
        <v>1373</v>
      </c>
      <c r="J309" s="3" t="s">
        <v>1390</v>
      </c>
      <c r="K309" s="3" t="s">
        <v>58</v>
      </c>
      <c r="L309" s="3" t="s">
        <v>1386</v>
      </c>
      <c r="M309" s="3" t="s">
        <v>58</v>
      </c>
      <c r="N309" s="3" t="s">
        <v>1391</v>
      </c>
      <c r="O309" s="3">
        <v>0</v>
      </c>
      <c r="P309" s="3">
        <v>0</v>
      </c>
      <c r="Q309" s="3" t="s">
        <v>60</v>
      </c>
      <c r="R309" s="3" t="s">
        <v>61</v>
      </c>
      <c r="S309" s="3">
        <v>5</v>
      </c>
      <c r="T309" s="3">
        <v>1</v>
      </c>
      <c r="U309" s="3">
        <v>4</v>
      </c>
      <c r="V309" s="3">
        <v>5</v>
      </c>
      <c r="W309" s="3">
        <v>0</v>
      </c>
      <c r="X309" s="3" t="s">
        <v>147</v>
      </c>
      <c r="Y309" s="3">
        <v>0</v>
      </c>
      <c r="Z309" s="3">
        <v>0</v>
      </c>
      <c r="AA309" s="3">
        <v>0</v>
      </c>
      <c r="AB309" s="3">
        <v>0</v>
      </c>
      <c r="AC309" s="3">
        <v>22</v>
      </c>
      <c r="AD309" s="3">
        <v>14</v>
      </c>
      <c r="AE309" s="3">
        <v>14</v>
      </c>
      <c r="AF309" s="3" t="s">
        <v>0</v>
      </c>
      <c r="AG309" s="3" t="s">
        <v>0</v>
      </c>
    </row>
    <row r="310" spans="1:33" ht="51" x14ac:dyDescent="0.2">
      <c r="A310" s="4" t="str">
        <f>HYPERLINK("http://www.patentics.cn/invokexml.do?sf=ShowPatent&amp;spn=WO2009067842&amp;sv=c9fdfb029972fe6f798ac3ee46030fb4","WO2009067842")</f>
        <v>WO2009067842</v>
      </c>
      <c r="B310" s="2" t="s">
        <v>1392</v>
      </c>
      <c r="C310" s="2" t="s">
        <v>1393</v>
      </c>
      <c r="D310" s="2" t="s">
        <v>1394</v>
      </c>
      <c r="E310" s="2" t="s">
        <v>1394</v>
      </c>
      <c r="F310" s="2" t="s">
        <v>1395</v>
      </c>
      <c r="G310" s="2" t="s">
        <v>1395</v>
      </c>
      <c r="H310" s="2" t="s">
        <v>1396</v>
      </c>
      <c r="I310" s="2" t="s">
        <v>1396</v>
      </c>
      <c r="J310" s="2" t="s">
        <v>1397</v>
      </c>
      <c r="K310" s="2" t="s">
        <v>43</v>
      </c>
      <c r="L310" s="2" t="s">
        <v>44</v>
      </c>
      <c r="M310" s="2" t="s">
        <v>0</v>
      </c>
      <c r="N310" s="2" t="s">
        <v>0</v>
      </c>
      <c r="O310" s="2">
        <v>0</v>
      </c>
      <c r="P310" s="2">
        <v>0</v>
      </c>
      <c r="Q310" s="2" t="s">
        <v>352</v>
      </c>
      <c r="R310" s="2" t="s">
        <v>47</v>
      </c>
      <c r="S310" s="2">
        <v>4</v>
      </c>
      <c r="T310" s="2">
        <v>0</v>
      </c>
      <c r="U310" s="2">
        <v>4</v>
      </c>
      <c r="V310" s="2">
        <v>3</v>
      </c>
      <c r="W310" s="2">
        <v>17</v>
      </c>
      <c r="X310" s="2" t="s">
        <v>1398</v>
      </c>
      <c r="Y310" s="2">
        <v>1</v>
      </c>
      <c r="Z310" s="2">
        <v>16</v>
      </c>
      <c r="AA310" s="2">
        <v>7</v>
      </c>
      <c r="AB310" s="2">
        <v>2</v>
      </c>
      <c r="AC310" s="2">
        <v>3</v>
      </c>
      <c r="AD310" s="2">
        <v>3</v>
      </c>
      <c r="AE310" s="2" t="s">
        <v>0</v>
      </c>
      <c r="AF310" s="2">
        <v>11</v>
      </c>
      <c r="AG310" s="2" t="s">
        <v>0</v>
      </c>
    </row>
    <row r="311" spans="1:33" ht="76.5" x14ac:dyDescent="0.2">
      <c r="A311" s="5" t="str">
        <f>HYPERLINK("http://www.patentics.cn/invokexml.do?sf=ShowPatent&amp;spn=US8886190&amp;sv=accdd99c2216fc98d326216297465038","US8886190")</f>
        <v>US8886190</v>
      </c>
      <c r="B311" s="3" t="s">
        <v>906</v>
      </c>
      <c r="C311" s="3" t="s">
        <v>907</v>
      </c>
      <c r="D311" s="3" t="s">
        <v>52</v>
      </c>
      <c r="E311" s="3" t="s">
        <v>52</v>
      </c>
      <c r="F311" s="3" t="s">
        <v>908</v>
      </c>
      <c r="G311" s="3" t="s">
        <v>454</v>
      </c>
      <c r="H311" s="3" t="s">
        <v>909</v>
      </c>
      <c r="I311" s="3" t="s">
        <v>910</v>
      </c>
      <c r="J311" s="3" t="s">
        <v>196</v>
      </c>
      <c r="K311" s="3" t="s">
        <v>82</v>
      </c>
      <c r="L311" s="3" t="s">
        <v>911</v>
      </c>
      <c r="M311" s="3" t="s">
        <v>82</v>
      </c>
      <c r="N311" s="3" t="s">
        <v>799</v>
      </c>
      <c r="O311" s="3">
        <v>0</v>
      </c>
      <c r="P311" s="3">
        <v>10</v>
      </c>
      <c r="Q311" s="3" t="s">
        <v>60</v>
      </c>
      <c r="R311" s="3" t="s">
        <v>61</v>
      </c>
      <c r="S311" s="3">
        <v>235</v>
      </c>
      <c r="T311" s="3">
        <v>51</v>
      </c>
      <c r="U311" s="3">
        <v>184</v>
      </c>
      <c r="V311" s="3">
        <v>63</v>
      </c>
      <c r="W311" s="3">
        <v>4</v>
      </c>
      <c r="X311" s="3" t="s">
        <v>912</v>
      </c>
      <c r="Y311" s="3">
        <v>3</v>
      </c>
      <c r="Z311" s="3">
        <v>1</v>
      </c>
      <c r="AA311" s="3">
        <v>2</v>
      </c>
      <c r="AB311" s="3">
        <v>1</v>
      </c>
      <c r="AC311" s="3">
        <v>7</v>
      </c>
      <c r="AD311" s="3">
        <v>6</v>
      </c>
      <c r="AE311" s="3">
        <v>14</v>
      </c>
      <c r="AF311" s="3" t="s">
        <v>0</v>
      </c>
      <c r="AG311" s="3" t="s">
        <v>49</v>
      </c>
    </row>
    <row r="312" spans="1:33" ht="89.25" x14ac:dyDescent="0.2">
      <c r="A312" s="5" t="str">
        <f>HYPERLINK("http://www.patentics.cn/invokexml.do?sf=ShowPatent&amp;spn=US8942192&amp;sv=87109fc2ff2f4e42f1db86db68428e2e","US8942192")</f>
        <v>US8942192</v>
      </c>
      <c r="B312" s="3" t="s">
        <v>913</v>
      </c>
      <c r="C312" s="3" t="s">
        <v>914</v>
      </c>
      <c r="D312" s="3" t="s">
        <v>52</v>
      </c>
      <c r="E312" s="3" t="s">
        <v>52</v>
      </c>
      <c r="F312" s="3" t="s">
        <v>915</v>
      </c>
      <c r="G312" s="3" t="s">
        <v>454</v>
      </c>
      <c r="H312" s="3" t="s">
        <v>916</v>
      </c>
      <c r="I312" s="3" t="s">
        <v>917</v>
      </c>
      <c r="J312" s="3" t="s">
        <v>918</v>
      </c>
      <c r="K312" s="3" t="s">
        <v>82</v>
      </c>
      <c r="L312" s="3" t="s">
        <v>244</v>
      </c>
      <c r="M312" s="3" t="s">
        <v>82</v>
      </c>
      <c r="N312" s="3" t="s">
        <v>919</v>
      </c>
      <c r="O312" s="3">
        <v>0</v>
      </c>
      <c r="P312" s="3">
        <v>18</v>
      </c>
      <c r="Q312" s="3" t="s">
        <v>60</v>
      </c>
      <c r="R312" s="3" t="s">
        <v>61</v>
      </c>
      <c r="S312" s="3">
        <v>248</v>
      </c>
      <c r="T312" s="3">
        <v>52</v>
      </c>
      <c r="U312" s="3">
        <v>196</v>
      </c>
      <c r="V312" s="3">
        <v>64</v>
      </c>
      <c r="W312" s="3">
        <v>17</v>
      </c>
      <c r="X312" s="3" t="s">
        <v>920</v>
      </c>
      <c r="Y312" s="3">
        <v>1</v>
      </c>
      <c r="Z312" s="3">
        <v>16</v>
      </c>
      <c r="AA312" s="3">
        <v>3</v>
      </c>
      <c r="AB312" s="3">
        <v>2</v>
      </c>
      <c r="AC312" s="3">
        <v>26</v>
      </c>
      <c r="AD312" s="3">
        <v>12</v>
      </c>
      <c r="AE312" s="3">
        <v>14</v>
      </c>
      <c r="AF312" s="3" t="s">
        <v>0</v>
      </c>
      <c r="AG312" s="3" t="s">
        <v>49</v>
      </c>
    </row>
    <row r="313" spans="1:33" ht="76.5" x14ac:dyDescent="0.2">
      <c r="A313" s="5" t="str">
        <f>HYPERLINK("http://www.patentics.cn/invokexml.do?sf=ShowPatent&amp;spn=US9106378&amp;sv=109dca1a95e0286c0676843dc271f0e5","US9106378")</f>
        <v>US9106378</v>
      </c>
      <c r="B313" s="3" t="s">
        <v>921</v>
      </c>
      <c r="C313" s="3" t="s">
        <v>922</v>
      </c>
      <c r="D313" s="3" t="s">
        <v>52</v>
      </c>
      <c r="E313" s="3" t="s">
        <v>52</v>
      </c>
      <c r="F313" s="3" t="s">
        <v>923</v>
      </c>
      <c r="G313" s="3" t="s">
        <v>924</v>
      </c>
      <c r="H313" s="3" t="s">
        <v>925</v>
      </c>
      <c r="I313" s="3" t="s">
        <v>926</v>
      </c>
      <c r="J313" s="3" t="s">
        <v>927</v>
      </c>
      <c r="K313" s="3" t="s">
        <v>82</v>
      </c>
      <c r="L313" s="3" t="s">
        <v>226</v>
      </c>
      <c r="M313" s="3" t="s">
        <v>0</v>
      </c>
      <c r="N313" s="3" t="s">
        <v>0</v>
      </c>
      <c r="O313" s="3">
        <v>0</v>
      </c>
      <c r="P313" s="3">
        <v>17</v>
      </c>
      <c r="Q313" s="3" t="s">
        <v>60</v>
      </c>
      <c r="R313" s="3" t="s">
        <v>61</v>
      </c>
      <c r="S313" s="3">
        <v>262</v>
      </c>
      <c r="T313" s="3">
        <v>53</v>
      </c>
      <c r="U313" s="3">
        <v>209</v>
      </c>
      <c r="V313" s="3">
        <v>65</v>
      </c>
      <c r="W313" s="3">
        <v>0</v>
      </c>
      <c r="X313" s="3" t="s">
        <v>147</v>
      </c>
      <c r="Y313" s="3">
        <v>0</v>
      </c>
      <c r="Z313" s="3">
        <v>0</v>
      </c>
      <c r="AA313" s="3">
        <v>0</v>
      </c>
      <c r="AB313" s="3">
        <v>0</v>
      </c>
      <c r="AC313" s="3">
        <v>13</v>
      </c>
      <c r="AD313" s="3">
        <v>7</v>
      </c>
      <c r="AE313" s="3">
        <v>14</v>
      </c>
      <c r="AF313" s="3" t="s">
        <v>0</v>
      </c>
      <c r="AG313" s="3" t="s">
        <v>49</v>
      </c>
    </row>
    <row r="314" spans="1:33" ht="140.25" x14ac:dyDescent="0.2">
      <c r="A314" s="5" t="str">
        <f>HYPERLINK("http://www.patentics.cn/invokexml.do?sf=ShowPatent&amp;spn=US9125072&amp;sv=0a35516ca99592a4263a31d9700485cf","US9125072")</f>
        <v>US9125072</v>
      </c>
      <c r="B314" s="3" t="s">
        <v>928</v>
      </c>
      <c r="C314" s="3" t="s">
        <v>929</v>
      </c>
      <c r="D314" s="3" t="s">
        <v>52</v>
      </c>
      <c r="E314" s="3" t="s">
        <v>52</v>
      </c>
      <c r="F314" s="3" t="s">
        <v>930</v>
      </c>
      <c r="G314" s="3" t="s">
        <v>78</v>
      </c>
      <c r="H314" s="3" t="s">
        <v>931</v>
      </c>
      <c r="I314" s="3" t="s">
        <v>932</v>
      </c>
      <c r="J314" s="3" t="s">
        <v>816</v>
      </c>
      <c r="K314" s="3" t="s">
        <v>82</v>
      </c>
      <c r="L314" s="3" t="s">
        <v>226</v>
      </c>
      <c r="M314" s="3" t="s">
        <v>0</v>
      </c>
      <c r="N314" s="3" t="s">
        <v>0</v>
      </c>
      <c r="O314" s="3">
        <v>0</v>
      </c>
      <c r="P314" s="3">
        <v>11</v>
      </c>
      <c r="Q314" s="3" t="s">
        <v>60</v>
      </c>
      <c r="R314" s="3" t="s">
        <v>61</v>
      </c>
      <c r="S314" s="3">
        <v>274</v>
      </c>
      <c r="T314" s="3">
        <v>55</v>
      </c>
      <c r="U314" s="3">
        <v>219</v>
      </c>
      <c r="V314" s="3">
        <v>64</v>
      </c>
      <c r="W314" s="3">
        <v>8</v>
      </c>
      <c r="X314" s="3" t="s">
        <v>933</v>
      </c>
      <c r="Y314" s="3">
        <v>1</v>
      </c>
      <c r="Z314" s="3">
        <v>7</v>
      </c>
      <c r="AA314" s="3">
        <v>2</v>
      </c>
      <c r="AB314" s="3">
        <v>2</v>
      </c>
      <c r="AC314" s="3">
        <v>22</v>
      </c>
      <c r="AD314" s="3">
        <v>11</v>
      </c>
      <c r="AE314" s="3">
        <v>14</v>
      </c>
      <c r="AF314" s="3" t="s">
        <v>0</v>
      </c>
      <c r="AG314" s="3" t="s">
        <v>49</v>
      </c>
    </row>
    <row r="315" spans="1:33" ht="102" x14ac:dyDescent="0.2">
      <c r="A315" s="5" t="str">
        <f>HYPERLINK("http://www.patentics.cn/invokexml.do?sf=ShowPatent&amp;spn=US9144037&amp;sv=1b44d15f404b6823ede5c41f2168ed63","US9144037")</f>
        <v>US9144037</v>
      </c>
      <c r="B315" s="3" t="s">
        <v>934</v>
      </c>
      <c r="C315" s="3" t="s">
        <v>935</v>
      </c>
      <c r="D315" s="3" t="s">
        <v>52</v>
      </c>
      <c r="E315" s="3" t="s">
        <v>52</v>
      </c>
      <c r="F315" s="3" t="s">
        <v>936</v>
      </c>
      <c r="G315" s="3" t="s">
        <v>937</v>
      </c>
      <c r="H315" s="3" t="s">
        <v>938</v>
      </c>
      <c r="I315" s="3" t="s">
        <v>939</v>
      </c>
      <c r="J315" s="3" t="s">
        <v>240</v>
      </c>
      <c r="K315" s="3" t="s">
        <v>84</v>
      </c>
      <c r="L315" s="3" t="s">
        <v>163</v>
      </c>
      <c r="M315" s="3" t="s">
        <v>82</v>
      </c>
      <c r="N315" s="3" t="s">
        <v>940</v>
      </c>
      <c r="O315" s="3">
        <v>0</v>
      </c>
      <c r="P315" s="3">
        <v>15</v>
      </c>
      <c r="Q315" s="3" t="s">
        <v>60</v>
      </c>
      <c r="R315" s="3" t="s">
        <v>61</v>
      </c>
      <c r="S315" s="3">
        <v>276</v>
      </c>
      <c r="T315" s="3">
        <v>53</v>
      </c>
      <c r="U315" s="3">
        <v>223</v>
      </c>
      <c r="V315" s="3">
        <v>65</v>
      </c>
      <c r="W315" s="3">
        <v>0</v>
      </c>
      <c r="X315" s="3" t="s">
        <v>147</v>
      </c>
      <c r="Y315" s="3">
        <v>0</v>
      </c>
      <c r="Z315" s="3">
        <v>0</v>
      </c>
      <c r="AA315" s="3">
        <v>0</v>
      </c>
      <c r="AB315" s="3">
        <v>0</v>
      </c>
      <c r="AC315" s="3">
        <v>15</v>
      </c>
      <c r="AD315" s="3">
        <v>7</v>
      </c>
      <c r="AE315" s="3">
        <v>14</v>
      </c>
      <c r="AF315" s="3" t="s">
        <v>0</v>
      </c>
      <c r="AG315" s="3" t="s">
        <v>49</v>
      </c>
    </row>
    <row r="316" spans="1:33" ht="229.5" x14ac:dyDescent="0.2">
      <c r="A316" s="5" t="str">
        <f>HYPERLINK("http://www.patentics.cn/invokexml.do?sf=ShowPatent&amp;spn=US9226288&amp;sv=50d74d97714cc499dcdeeea75ddcc1b9","US9226288")</f>
        <v>US9226288</v>
      </c>
      <c r="B316" s="3" t="s">
        <v>941</v>
      </c>
      <c r="C316" s="3" t="s">
        <v>942</v>
      </c>
      <c r="D316" s="3" t="s">
        <v>52</v>
      </c>
      <c r="E316" s="3" t="s">
        <v>52</v>
      </c>
      <c r="F316" s="3" t="s">
        <v>943</v>
      </c>
      <c r="G316" s="3" t="s">
        <v>944</v>
      </c>
      <c r="H316" s="3" t="s">
        <v>931</v>
      </c>
      <c r="I316" s="3" t="s">
        <v>932</v>
      </c>
      <c r="J316" s="3" t="s">
        <v>294</v>
      </c>
      <c r="K316" s="3" t="s">
        <v>82</v>
      </c>
      <c r="L316" s="3" t="s">
        <v>83</v>
      </c>
      <c r="M316" s="3" t="s">
        <v>82</v>
      </c>
      <c r="N316" s="3" t="s">
        <v>945</v>
      </c>
      <c r="O316" s="3">
        <v>0</v>
      </c>
      <c r="P316" s="3">
        <v>15</v>
      </c>
      <c r="Q316" s="3" t="s">
        <v>60</v>
      </c>
      <c r="R316" s="3" t="s">
        <v>61</v>
      </c>
      <c r="S316" s="3">
        <v>278</v>
      </c>
      <c r="T316" s="3">
        <v>55</v>
      </c>
      <c r="U316" s="3">
        <v>223</v>
      </c>
      <c r="V316" s="3">
        <v>65</v>
      </c>
      <c r="W316" s="3">
        <v>0</v>
      </c>
      <c r="X316" s="3" t="s">
        <v>147</v>
      </c>
      <c r="Y316" s="3">
        <v>0</v>
      </c>
      <c r="Z316" s="3">
        <v>0</v>
      </c>
      <c r="AA316" s="3">
        <v>0</v>
      </c>
      <c r="AB316" s="3">
        <v>0</v>
      </c>
      <c r="AC316" s="3">
        <v>8</v>
      </c>
      <c r="AD316" s="3">
        <v>6</v>
      </c>
      <c r="AE316" s="3">
        <v>14</v>
      </c>
      <c r="AF316" s="3" t="s">
        <v>0</v>
      </c>
      <c r="AG316" s="3" t="s">
        <v>49</v>
      </c>
    </row>
    <row r="317" spans="1:33" ht="76.5" x14ac:dyDescent="0.2">
      <c r="A317" s="5" t="str">
        <f>HYPERLINK("http://www.patentics.cn/invokexml.do?sf=ShowPatent&amp;spn=US9271167&amp;sv=e401f5289229974ed8a94cd08f8a9054","US9271167")</f>
        <v>US9271167</v>
      </c>
      <c r="B317" s="3" t="s">
        <v>953</v>
      </c>
      <c r="C317" s="3" t="s">
        <v>954</v>
      </c>
      <c r="D317" s="3" t="s">
        <v>52</v>
      </c>
      <c r="E317" s="3" t="s">
        <v>52</v>
      </c>
      <c r="F317" s="3" t="s">
        <v>955</v>
      </c>
      <c r="G317" s="3" t="s">
        <v>956</v>
      </c>
      <c r="H317" s="3" t="s">
        <v>931</v>
      </c>
      <c r="I317" s="3" t="s">
        <v>957</v>
      </c>
      <c r="J317" s="3" t="s">
        <v>669</v>
      </c>
      <c r="K317" s="3" t="s">
        <v>82</v>
      </c>
      <c r="L317" s="3" t="s">
        <v>806</v>
      </c>
      <c r="M317" s="3" t="s">
        <v>82</v>
      </c>
      <c r="N317" s="3" t="s">
        <v>958</v>
      </c>
      <c r="O317" s="3">
        <v>0</v>
      </c>
      <c r="P317" s="3">
        <v>16</v>
      </c>
      <c r="Q317" s="3" t="s">
        <v>60</v>
      </c>
      <c r="R317" s="3" t="s">
        <v>61</v>
      </c>
      <c r="S317" s="3">
        <v>279</v>
      </c>
      <c r="T317" s="3">
        <v>55</v>
      </c>
      <c r="U317" s="3">
        <v>224</v>
      </c>
      <c r="V317" s="3">
        <v>65</v>
      </c>
      <c r="W317" s="3">
        <v>21</v>
      </c>
      <c r="X317" s="3" t="s">
        <v>108</v>
      </c>
      <c r="Y317" s="3">
        <v>0</v>
      </c>
      <c r="Z317" s="3">
        <v>21</v>
      </c>
      <c r="AA317" s="3">
        <v>1</v>
      </c>
      <c r="AB317" s="3">
        <v>2</v>
      </c>
      <c r="AC317" s="3">
        <v>20</v>
      </c>
      <c r="AD317" s="3">
        <v>13</v>
      </c>
      <c r="AE317" s="3">
        <v>14</v>
      </c>
      <c r="AF317" s="3" t="s">
        <v>0</v>
      </c>
      <c r="AG317" s="3" t="s">
        <v>49</v>
      </c>
    </row>
    <row r="318" spans="1:33" ht="76.5" x14ac:dyDescent="0.2">
      <c r="A318" s="5" t="str">
        <f>HYPERLINK("http://www.patentics.cn/invokexml.do?sf=ShowPatent&amp;spn=US9277566&amp;sv=1e06c5731d657aed16e04b24a7f25f6b","US9277566")</f>
        <v>US9277566</v>
      </c>
      <c r="B318" s="3" t="s">
        <v>959</v>
      </c>
      <c r="C318" s="3" t="s">
        <v>960</v>
      </c>
      <c r="D318" s="3" t="s">
        <v>52</v>
      </c>
      <c r="E318" s="3" t="s">
        <v>52</v>
      </c>
      <c r="F318" s="3" t="s">
        <v>961</v>
      </c>
      <c r="G318" s="3" t="s">
        <v>962</v>
      </c>
      <c r="H318" s="3" t="s">
        <v>963</v>
      </c>
      <c r="I318" s="3" t="s">
        <v>964</v>
      </c>
      <c r="J318" s="3" t="s">
        <v>965</v>
      </c>
      <c r="K318" s="3" t="s">
        <v>82</v>
      </c>
      <c r="L318" s="3" t="s">
        <v>83</v>
      </c>
      <c r="M318" s="3" t="s">
        <v>82</v>
      </c>
      <c r="N318" s="3" t="s">
        <v>966</v>
      </c>
      <c r="O318" s="3">
        <v>0</v>
      </c>
      <c r="P318" s="3">
        <v>10</v>
      </c>
      <c r="Q318" s="3" t="s">
        <v>60</v>
      </c>
      <c r="R318" s="3" t="s">
        <v>61</v>
      </c>
      <c r="S318" s="3">
        <v>279</v>
      </c>
      <c r="T318" s="3">
        <v>56</v>
      </c>
      <c r="U318" s="3">
        <v>223</v>
      </c>
      <c r="V318" s="3">
        <v>65</v>
      </c>
      <c r="W318" s="3">
        <v>0</v>
      </c>
      <c r="X318" s="3" t="s">
        <v>147</v>
      </c>
      <c r="Y318" s="3">
        <v>0</v>
      </c>
      <c r="Z318" s="3">
        <v>0</v>
      </c>
      <c r="AA318" s="3">
        <v>0</v>
      </c>
      <c r="AB318" s="3">
        <v>0</v>
      </c>
      <c r="AC318" s="3">
        <v>11</v>
      </c>
      <c r="AD318" s="3">
        <v>7</v>
      </c>
      <c r="AE318" s="3">
        <v>14</v>
      </c>
      <c r="AF318" s="3" t="s">
        <v>0</v>
      </c>
      <c r="AG318" s="3" t="s">
        <v>49</v>
      </c>
    </row>
    <row r="319" spans="1:33" ht="89.25" x14ac:dyDescent="0.2">
      <c r="A319" s="5" t="str">
        <f>HYPERLINK("http://www.patentics.cn/invokexml.do?sf=ShowPatent&amp;spn=US9281932&amp;sv=588db6af75c155f9b117f0850b28fd3c","US9281932")</f>
        <v>US9281932</v>
      </c>
      <c r="B319" s="3" t="s">
        <v>967</v>
      </c>
      <c r="C319" s="3" t="s">
        <v>914</v>
      </c>
      <c r="D319" s="3" t="s">
        <v>52</v>
      </c>
      <c r="E319" s="3" t="s">
        <v>52</v>
      </c>
      <c r="F319" s="3" t="s">
        <v>915</v>
      </c>
      <c r="G319" s="3" t="s">
        <v>454</v>
      </c>
      <c r="H319" s="3" t="s">
        <v>916</v>
      </c>
      <c r="I319" s="3" t="s">
        <v>968</v>
      </c>
      <c r="J319" s="3" t="s">
        <v>683</v>
      </c>
      <c r="K319" s="3" t="s">
        <v>82</v>
      </c>
      <c r="L319" s="3" t="s">
        <v>244</v>
      </c>
      <c r="M319" s="3" t="s">
        <v>58</v>
      </c>
      <c r="N319" s="3" t="s">
        <v>969</v>
      </c>
      <c r="O319" s="3">
        <v>0</v>
      </c>
      <c r="P319" s="3">
        <v>16</v>
      </c>
      <c r="Q319" s="3" t="s">
        <v>60</v>
      </c>
      <c r="R319" s="3" t="s">
        <v>61</v>
      </c>
      <c r="S319" s="3">
        <v>276</v>
      </c>
      <c r="T319" s="3">
        <v>54</v>
      </c>
      <c r="U319" s="3">
        <v>222</v>
      </c>
      <c r="V319" s="3">
        <v>64</v>
      </c>
      <c r="W319" s="3">
        <v>14</v>
      </c>
      <c r="X319" s="3" t="s">
        <v>147</v>
      </c>
      <c r="Y319" s="3">
        <v>0</v>
      </c>
      <c r="Z319" s="3">
        <v>14</v>
      </c>
      <c r="AA319" s="3">
        <v>0</v>
      </c>
      <c r="AB319" s="3">
        <v>1</v>
      </c>
      <c r="AC319" s="3">
        <v>26</v>
      </c>
      <c r="AD319" s="3">
        <v>12</v>
      </c>
      <c r="AE319" s="3">
        <v>14</v>
      </c>
      <c r="AF319" s="3" t="s">
        <v>0</v>
      </c>
      <c r="AG319" s="3" t="s">
        <v>49</v>
      </c>
    </row>
    <row r="320" spans="1:33" ht="140.25" x14ac:dyDescent="0.2">
      <c r="A320" s="5" t="str">
        <f>HYPERLINK("http://www.patentics.cn/invokexml.do?sf=ShowPatent&amp;spn=US9282472&amp;sv=12573b5a134f751a53fd2109d243d1ed","US9282472")</f>
        <v>US9282472</v>
      </c>
      <c r="B320" s="3" t="s">
        <v>970</v>
      </c>
      <c r="C320" s="3" t="s">
        <v>971</v>
      </c>
      <c r="D320" s="3" t="s">
        <v>52</v>
      </c>
      <c r="E320" s="3" t="s">
        <v>52</v>
      </c>
      <c r="F320" s="3" t="s">
        <v>930</v>
      </c>
      <c r="G320" s="3" t="s">
        <v>78</v>
      </c>
      <c r="H320" s="3" t="s">
        <v>931</v>
      </c>
      <c r="I320" s="3" t="s">
        <v>972</v>
      </c>
      <c r="J320" s="3" t="s">
        <v>683</v>
      </c>
      <c r="K320" s="3" t="s">
        <v>82</v>
      </c>
      <c r="L320" s="3" t="s">
        <v>226</v>
      </c>
      <c r="M320" s="3" t="s">
        <v>82</v>
      </c>
      <c r="N320" s="3" t="s">
        <v>958</v>
      </c>
      <c r="O320" s="3">
        <v>0</v>
      </c>
      <c r="P320" s="3">
        <v>10</v>
      </c>
      <c r="Q320" s="3" t="s">
        <v>60</v>
      </c>
      <c r="R320" s="3" t="s">
        <v>61</v>
      </c>
      <c r="S320" s="3">
        <v>286</v>
      </c>
      <c r="T320" s="3">
        <v>62</v>
      </c>
      <c r="U320" s="3">
        <v>224</v>
      </c>
      <c r="V320" s="3">
        <v>65</v>
      </c>
      <c r="W320" s="3">
        <v>6</v>
      </c>
      <c r="X320" s="3" t="s">
        <v>147</v>
      </c>
      <c r="Y320" s="3">
        <v>0</v>
      </c>
      <c r="Z320" s="3">
        <v>6</v>
      </c>
      <c r="AA320" s="3">
        <v>0</v>
      </c>
      <c r="AB320" s="3">
        <v>1</v>
      </c>
      <c r="AC320" s="3">
        <v>22</v>
      </c>
      <c r="AD320" s="3">
        <v>11</v>
      </c>
      <c r="AE320" s="3">
        <v>14</v>
      </c>
      <c r="AF320" s="3" t="s">
        <v>0</v>
      </c>
      <c r="AG320" s="3" t="s">
        <v>49</v>
      </c>
    </row>
    <row r="321" spans="1:33" ht="255" x14ac:dyDescent="0.2">
      <c r="A321" s="5" t="str">
        <f>HYPERLINK("http://www.patentics.cn/invokexml.do?sf=ShowPatent&amp;spn=US9392608&amp;sv=08c237f9c4d3167556ddb89b7357ba3e","US9392608")</f>
        <v>US9392608</v>
      </c>
      <c r="B321" s="3" t="s">
        <v>973</v>
      </c>
      <c r="C321" s="3" t="s">
        <v>974</v>
      </c>
      <c r="D321" s="3" t="s">
        <v>52</v>
      </c>
      <c r="E321" s="3" t="s">
        <v>52</v>
      </c>
      <c r="F321" s="3" t="s">
        <v>975</v>
      </c>
      <c r="G321" s="3" t="s">
        <v>956</v>
      </c>
      <c r="H321" s="3" t="s">
        <v>931</v>
      </c>
      <c r="I321" s="3" t="s">
        <v>932</v>
      </c>
      <c r="J321" s="3" t="s">
        <v>976</v>
      </c>
      <c r="K321" s="3" t="s">
        <v>82</v>
      </c>
      <c r="L321" s="3" t="s">
        <v>226</v>
      </c>
      <c r="M321" s="3" t="s">
        <v>82</v>
      </c>
      <c r="N321" s="3" t="s">
        <v>977</v>
      </c>
      <c r="O321" s="3">
        <v>0</v>
      </c>
      <c r="P321" s="3">
        <v>15</v>
      </c>
      <c r="Q321" s="3" t="s">
        <v>60</v>
      </c>
      <c r="R321" s="3" t="s">
        <v>61</v>
      </c>
      <c r="S321" s="3">
        <v>285</v>
      </c>
      <c r="T321" s="3">
        <v>55</v>
      </c>
      <c r="U321" s="3">
        <v>230</v>
      </c>
      <c r="V321" s="3">
        <v>66</v>
      </c>
      <c r="W321" s="3">
        <v>0</v>
      </c>
      <c r="X321" s="3" t="s">
        <v>147</v>
      </c>
      <c r="Y321" s="3">
        <v>0</v>
      </c>
      <c r="Z321" s="3">
        <v>0</v>
      </c>
      <c r="AA321" s="3">
        <v>0</v>
      </c>
      <c r="AB321" s="3">
        <v>0</v>
      </c>
      <c r="AC321" s="3">
        <v>16</v>
      </c>
      <c r="AD321" s="3">
        <v>10</v>
      </c>
      <c r="AE321" s="3">
        <v>14</v>
      </c>
      <c r="AF321" s="3" t="s">
        <v>0</v>
      </c>
      <c r="AG321" s="3" t="s">
        <v>49</v>
      </c>
    </row>
    <row r="322" spans="1:33" ht="51" x14ac:dyDescent="0.2">
      <c r="A322" s="4" t="str">
        <f>HYPERLINK("http://www.patentics.cn/invokexml.do?sf=ShowPatent&amp;spn=CN101969635&amp;sv=81ddc42a9ff46eb0b052831941a3a413","CN101969635")</f>
        <v>CN101969635</v>
      </c>
      <c r="B322" s="2" t="s">
        <v>1399</v>
      </c>
      <c r="C322" s="2" t="s">
        <v>1400</v>
      </c>
      <c r="D322" s="2" t="s">
        <v>38</v>
      </c>
      <c r="E322" s="2" t="s">
        <v>38</v>
      </c>
      <c r="F322" s="2" t="s">
        <v>1401</v>
      </c>
      <c r="G322" s="2" t="s">
        <v>1402</v>
      </c>
      <c r="H322" s="2" t="s">
        <v>1403</v>
      </c>
      <c r="I322" s="2" t="s">
        <v>1403</v>
      </c>
      <c r="J322" s="2" t="s">
        <v>1404</v>
      </c>
      <c r="K322" s="2" t="s">
        <v>82</v>
      </c>
      <c r="L322" s="2" t="s">
        <v>1405</v>
      </c>
      <c r="M322" s="2" t="s">
        <v>0</v>
      </c>
      <c r="N322" s="2" t="s">
        <v>0</v>
      </c>
      <c r="O322" s="2">
        <v>25</v>
      </c>
      <c r="P322" s="2">
        <v>14</v>
      </c>
      <c r="Q322" s="2" t="s">
        <v>46</v>
      </c>
      <c r="R322" s="2" t="s">
        <v>47</v>
      </c>
      <c r="S322" s="2">
        <v>0</v>
      </c>
      <c r="T322" s="2">
        <v>0</v>
      </c>
      <c r="U322" s="2">
        <v>0</v>
      </c>
      <c r="V322" s="2">
        <v>0</v>
      </c>
      <c r="W322" s="2">
        <v>40</v>
      </c>
      <c r="X322" s="2" t="s">
        <v>1406</v>
      </c>
      <c r="Y322" s="2">
        <v>7</v>
      </c>
      <c r="Z322" s="2">
        <v>33</v>
      </c>
      <c r="AA322" s="2">
        <v>8</v>
      </c>
      <c r="AB322" s="2">
        <v>4</v>
      </c>
      <c r="AC322" s="2">
        <v>5</v>
      </c>
      <c r="AD322" s="2">
        <v>4</v>
      </c>
      <c r="AE322" s="2" t="s">
        <v>0</v>
      </c>
      <c r="AF322" s="2">
        <v>10</v>
      </c>
      <c r="AG322" s="2" t="s">
        <v>547</v>
      </c>
    </row>
    <row r="323" spans="1:33" ht="76.5" x14ac:dyDescent="0.2">
      <c r="A323" s="5" t="str">
        <f>HYPERLINK("http://www.patentics.cn/invokexml.do?sf=ShowPatent&amp;spn=US8873494&amp;sv=f32f10b4376aba05ef37452590072c92","US8873494")</f>
        <v>US8873494</v>
      </c>
      <c r="B323" s="3" t="s">
        <v>1407</v>
      </c>
      <c r="C323" s="3" t="s">
        <v>1408</v>
      </c>
      <c r="D323" s="3" t="s">
        <v>52</v>
      </c>
      <c r="E323" s="3" t="s">
        <v>52</v>
      </c>
      <c r="F323" s="3" t="s">
        <v>1409</v>
      </c>
      <c r="G323" s="3" t="s">
        <v>1410</v>
      </c>
      <c r="H323" s="3" t="s">
        <v>1411</v>
      </c>
      <c r="I323" s="3" t="s">
        <v>1412</v>
      </c>
      <c r="J323" s="3" t="s">
        <v>489</v>
      </c>
      <c r="K323" s="3" t="s">
        <v>82</v>
      </c>
      <c r="L323" s="3" t="s">
        <v>83</v>
      </c>
      <c r="M323" s="3" t="s">
        <v>82</v>
      </c>
      <c r="N323" s="3" t="s">
        <v>1413</v>
      </c>
      <c r="O323" s="3">
        <v>0</v>
      </c>
      <c r="P323" s="3">
        <v>12</v>
      </c>
      <c r="Q323" s="3" t="s">
        <v>60</v>
      </c>
      <c r="R323" s="3" t="s">
        <v>61</v>
      </c>
      <c r="S323" s="3">
        <v>46</v>
      </c>
      <c r="T323" s="3">
        <v>11</v>
      </c>
      <c r="U323" s="3">
        <v>35</v>
      </c>
      <c r="V323" s="3">
        <v>16</v>
      </c>
      <c r="W323" s="3">
        <v>1</v>
      </c>
      <c r="X323" s="3" t="s">
        <v>108</v>
      </c>
      <c r="Y323" s="3">
        <v>0</v>
      </c>
      <c r="Z323" s="3">
        <v>1</v>
      </c>
      <c r="AA323" s="3">
        <v>1</v>
      </c>
      <c r="AB323" s="3">
        <v>1</v>
      </c>
      <c r="AC323" s="3">
        <v>59</v>
      </c>
      <c r="AD323" s="3">
        <v>7</v>
      </c>
      <c r="AE323" s="3">
        <v>14</v>
      </c>
      <c r="AF323" s="3" t="s">
        <v>0</v>
      </c>
      <c r="AG323" s="3" t="s">
        <v>49</v>
      </c>
    </row>
    <row r="324" spans="1:33" ht="76.5" x14ac:dyDescent="0.2">
      <c r="A324" s="5" t="str">
        <f>HYPERLINK("http://www.patentics.cn/invokexml.do?sf=ShowPatent&amp;spn=US9191977&amp;sv=7fda1ebbdb437785f2271ef4558bd167","US9191977")</f>
        <v>US9191977</v>
      </c>
      <c r="B324" s="3" t="s">
        <v>1414</v>
      </c>
      <c r="C324" s="3" t="s">
        <v>1408</v>
      </c>
      <c r="D324" s="3" t="s">
        <v>52</v>
      </c>
      <c r="E324" s="3" t="s">
        <v>52</v>
      </c>
      <c r="F324" s="3" t="s">
        <v>1409</v>
      </c>
      <c r="G324" s="3" t="s">
        <v>1410</v>
      </c>
      <c r="H324" s="3" t="s">
        <v>1411</v>
      </c>
      <c r="I324" s="3" t="s">
        <v>1412</v>
      </c>
      <c r="J324" s="3" t="s">
        <v>612</v>
      </c>
      <c r="K324" s="3" t="s">
        <v>82</v>
      </c>
      <c r="L324" s="3" t="s">
        <v>83</v>
      </c>
      <c r="M324" s="3" t="s">
        <v>82</v>
      </c>
      <c r="N324" s="3" t="s">
        <v>1415</v>
      </c>
      <c r="O324" s="3">
        <v>0</v>
      </c>
      <c r="P324" s="3">
        <v>16</v>
      </c>
      <c r="Q324" s="3" t="s">
        <v>60</v>
      </c>
      <c r="R324" s="3" t="s">
        <v>61</v>
      </c>
      <c r="S324" s="3">
        <v>83</v>
      </c>
      <c r="T324" s="3">
        <v>13</v>
      </c>
      <c r="U324" s="3">
        <v>70</v>
      </c>
      <c r="V324" s="3">
        <v>31</v>
      </c>
      <c r="W324" s="3">
        <v>1</v>
      </c>
      <c r="X324" s="3" t="s">
        <v>108</v>
      </c>
      <c r="Y324" s="3">
        <v>0</v>
      </c>
      <c r="Z324" s="3">
        <v>1</v>
      </c>
      <c r="AA324" s="3">
        <v>1</v>
      </c>
      <c r="AB324" s="3">
        <v>1</v>
      </c>
      <c r="AC324" s="3">
        <v>59</v>
      </c>
      <c r="AD324" s="3">
        <v>7</v>
      </c>
      <c r="AE324" s="3">
        <v>14</v>
      </c>
      <c r="AF324" s="3" t="s">
        <v>0</v>
      </c>
      <c r="AG324" s="3" t="s">
        <v>49</v>
      </c>
    </row>
    <row r="325" spans="1:33" ht="76.5" x14ac:dyDescent="0.2">
      <c r="A325" s="5" t="str">
        <f>HYPERLINK("http://www.patentics.cn/invokexml.do?sf=ShowPatent&amp;spn=US9271317&amp;sv=468cf283134f225837cb2f3891eb771d","US9271317")</f>
        <v>US9271317</v>
      </c>
      <c r="B325" s="3" t="s">
        <v>1416</v>
      </c>
      <c r="C325" s="3" t="s">
        <v>1408</v>
      </c>
      <c r="D325" s="3" t="s">
        <v>52</v>
      </c>
      <c r="E325" s="3" t="s">
        <v>52</v>
      </c>
      <c r="F325" s="3" t="s">
        <v>1409</v>
      </c>
      <c r="G325" s="3" t="s">
        <v>1410</v>
      </c>
      <c r="H325" s="3" t="s">
        <v>1411</v>
      </c>
      <c r="I325" s="3" t="s">
        <v>1412</v>
      </c>
      <c r="J325" s="3" t="s">
        <v>669</v>
      </c>
      <c r="K325" s="3" t="s">
        <v>82</v>
      </c>
      <c r="L325" s="3" t="s">
        <v>83</v>
      </c>
      <c r="M325" s="3" t="s">
        <v>82</v>
      </c>
      <c r="N325" s="3" t="s">
        <v>1415</v>
      </c>
      <c r="O325" s="3">
        <v>0</v>
      </c>
      <c r="P325" s="3">
        <v>11</v>
      </c>
      <c r="Q325" s="3" t="s">
        <v>60</v>
      </c>
      <c r="R325" s="3" t="s">
        <v>61</v>
      </c>
      <c r="S325" s="3">
        <v>92</v>
      </c>
      <c r="T325" s="3">
        <v>14</v>
      </c>
      <c r="U325" s="3">
        <v>78</v>
      </c>
      <c r="V325" s="3">
        <v>34</v>
      </c>
      <c r="W325" s="3">
        <v>1</v>
      </c>
      <c r="X325" s="3" t="s">
        <v>108</v>
      </c>
      <c r="Y325" s="3">
        <v>0</v>
      </c>
      <c r="Z325" s="3">
        <v>1</v>
      </c>
      <c r="AA325" s="3">
        <v>1</v>
      </c>
      <c r="AB325" s="3">
        <v>1</v>
      </c>
      <c r="AC325" s="3">
        <v>59</v>
      </c>
      <c r="AD325" s="3">
        <v>7</v>
      </c>
      <c r="AE325" s="3">
        <v>14</v>
      </c>
      <c r="AF325" s="3" t="s">
        <v>0</v>
      </c>
      <c r="AG325" s="3" t="s">
        <v>49</v>
      </c>
    </row>
    <row r="326" spans="1:33" ht="76.5" x14ac:dyDescent="0.2">
      <c r="A326" s="5" t="str">
        <f>HYPERLINK("http://www.patentics.cn/invokexml.do?sf=ShowPatent&amp;spn=US9338732&amp;sv=4179d7a54d2781beb9b0e60113a66e65","US9338732")</f>
        <v>US9338732</v>
      </c>
      <c r="B326" s="3" t="s">
        <v>1417</v>
      </c>
      <c r="C326" s="3" t="s">
        <v>1408</v>
      </c>
      <c r="D326" s="3" t="s">
        <v>52</v>
      </c>
      <c r="E326" s="3" t="s">
        <v>52</v>
      </c>
      <c r="F326" s="3" t="s">
        <v>1409</v>
      </c>
      <c r="G326" s="3" t="s">
        <v>1410</v>
      </c>
      <c r="H326" s="3" t="s">
        <v>1411</v>
      </c>
      <c r="I326" s="3" t="s">
        <v>1412</v>
      </c>
      <c r="J326" s="3" t="s">
        <v>840</v>
      </c>
      <c r="K326" s="3" t="s">
        <v>82</v>
      </c>
      <c r="L326" s="3" t="s">
        <v>83</v>
      </c>
      <c r="M326" s="3" t="s">
        <v>82</v>
      </c>
      <c r="N326" s="3" t="s">
        <v>807</v>
      </c>
      <c r="O326" s="3">
        <v>0</v>
      </c>
      <c r="P326" s="3">
        <v>11</v>
      </c>
      <c r="Q326" s="3" t="s">
        <v>60</v>
      </c>
      <c r="R326" s="3" t="s">
        <v>61</v>
      </c>
      <c r="S326" s="3">
        <v>97</v>
      </c>
      <c r="T326" s="3">
        <v>14</v>
      </c>
      <c r="U326" s="3">
        <v>83</v>
      </c>
      <c r="V326" s="3">
        <v>35</v>
      </c>
      <c r="W326" s="3">
        <v>0</v>
      </c>
      <c r="X326" s="3" t="s">
        <v>147</v>
      </c>
      <c r="Y326" s="3">
        <v>0</v>
      </c>
      <c r="Z326" s="3">
        <v>0</v>
      </c>
      <c r="AA326" s="3">
        <v>0</v>
      </c>
      <c r="AB326" s="3">
        <v>0</v>
      </c>
      <c r="AC326" s="3">
        <v>59</v>
      </c>
      <c r="AD326" s="3">
        <v>7</v>
      </c>
      <c r="AE326" s="3">
        <v>14</v>
      </c>
      <c r="AF326" s="3" t="s">
        <v>0</v>
      </c>
      <c r="AG326" s="3" t="s">
        <v>49</v>
      </c>
    </row>
    <row r="327" spans="1:33" ht="76.5" x14ac:dyDescent="0.2">
      <c r="A327" s="5" t="str">
        <f>HYPERLINK("http://www.patentics.cn/invokexml.do?sf=ShowPatent&amp;spn=US9402243&amp;sv=4b3e88289e04274cfda289a985b80364","US9402243")</f>
        <v>US9402243</v>
      </c>
      <c r="B327" s="3" t="s">
        <v>1418</v>
      </c>
      <c r="C327" s="3" t="s">
        <v>1408</v>
      </c>
      <c r="D327" s="3" t="s">
        <v>52</v>
      </c>
      <c r="E327" s="3" t="s">
        <v>52</v>
      </c>
      <c r="F327" s="3" t="s">
        <v>1409</v>
      </c>
      <c r="G327" s="3" t="s">
        <v>1410</v>
      </c>
      <c r="H327" s="3" t="s">
        <v>1411</v>
      </c>
      <c r="I327" s="3" t="s">
        <v>1412</v>
      </c>
      <c r="J327" s="3" t="s">
        <v>1419</v>
      </c>
      <c r="K327" s="3" t="s">
        <v>1246</v>
      </c>
      <c r="L327" s="3" t="s">
        <v>1247</v>
      </c>
      <c r="M327" s="3" t="s">
        <v>82</v>
      </c>
      <c r="N327" s="3" t="s">
        <v>1420</v>
      </c>
      <c r="O327" s="3">
        <v>0</v>
      </c>
      <c r="P327" s="3">
        <v>11</v>
      </c>
      <c r="Q327" s="3" t="s">
        <v>60</v>
      </c>
      <c r="R327" s="3" t="s">
        <v>61</v>
      </c>
      <c r="S327" s="3">
        <v>101</v>
      </c>
      <c r="T327" s="3">
        <v>14</v>
      </c>
      <c r="U327" s="3">
        <v>87</v>
      </c>
      <c r="V327" s="3">
        <v>37</v>
      </c>
      <c r="W327" s="3">
        <v>0</v>
      </c>
      <c r="X327" s="3" t="s">
        <v>147</v>
      </c>
      <c r="Y327" s="3">
        <v>0</v>
      </c>
      <c r="Z327" s="3">
        <v>0</v>
      </c>
      <c r="AA327" s="3">
        <v>0</v>
      </c>
      <c r="AB327" s="3">
        <v>0</v>
      </c>
      <c r="AC327" s="3">
        <v>59</v>
      </c>
      <c r="AD327" s="3">
        <v>7</v>
      </c>
      <c r="AE327" s="3">
        <v>14</v>
      </c>
      <c r="AF327" s="3" t="s">
        <v>0</v>
      </c>
      <c r="AG327" s="3" t="s">
        <v>49</v>
      </c>
    </row>
    <row r="328" spans="1:33" ht="76.5" x14ac:dyDescent="0.2">
      <c r="A328" s="5" t="str">
        <f>HYPERLINK("http://www.patentics.cn/invokexml.do?sf=ShowPatent&amp;spn=US9445438&amp;sv=6cc0d9a022ec8ba4a2e3f9d576dc40a8","US9445438")</f>
        <v>US9445438</v>
      </c>
      <c r="B328" s="3" t="s">
        <v>1421</v>
      </c>
      <c r="C328" s="3" t="s">
        <v>1408</v>
      </c>
      <c r="D328" s="3" t="s">
        <v>52</v>
      </c>
      <c r="E328" s="3" t="s">
        <v>52</v>
      </c>
      <c r="F328" s="3" t="s">
        <v>1409</v>
      </c>
      <c r="G328" s="3" t="s">
        <v>1410</v>
      </c>
      <c r="H328" s="3" t="s">
        <v>0</v>
      </c>
      <c r="I328" s="3" t="s">
        <v>1412</v>
      </c>
      <c r="J328" s="3" t="s">
        <v>1422</v>
      </c>
      <c r="K328" s="3" t="s">
        <v>1020</v>
      </c>
      <c r="L328" s="3" t="s">
        <v>1021</v>
      </c>
      <c r="M328" s="3" t="s">
        <v>82</v>
      </c>
      <c r="N328" s="3" t="s">
        <v>1423</v>
      </c>
      <c r="O328" s="3">
        <v>0</v>
      </c>
      <c r="P328" s="3">
        <v>12</v>
      </c>
      <c r="Q328" s="3" t="s">
        <v>60</v>
      </c>
      <c r="R328" s="3" t="s">
        <v>61</v>
      </c>
      <c r="S328" s="3">
        <v>104</v>
      </c>
      <c r="T328" s="3">
        <v>14</v>
      </c>
      <c r="U328" s="3">
        <v>90</v>
      </c>
      <c r="V328" s="3">
        <v>37</v>
      </c>
      <c r="W328" s="3">
        <v>0</v>
      </c>
      <c r="X328" s="3" t="s">
        <v>147</v>
      </c>
      <c r="Y328" s="3">
        <v>0</v>
      </c>
      <c r="Z328" s="3">
        <v>0</v>
      </c>
      <c r="AA328" s="3">
        <v>0</v>
      </c>
      <c r="AB328" s="3">
        <v>0</v>
      </c>
      <c r="AC328" s="3">
        <v>0</v>
      </c>
      <c r="AD328" s="3">
        <v>0</v>
      </c>
      <c r="AE328" s="3">
        <v>14</v>
      </c>
      <c r="AF328" s="3" t="s">
        <v>0</v>
      </c>
      <c r="AG328" s="3" t="s">
        <v>49</v>
      </c>
    </row>
    <row r="329" spans="1:33" ht="114.75" x14ac:dyDescent="0.2">
      <c r="A329" s="5" t="str">
        <f>HYPERLINK("http://www.patentics.cn/invokexml.do?sf=ShowPatent&amp;spn=WO2013063594&amp;sv=093bbdc1e065733c1e9c9617af7eb7aa","WO2013063594")</f>
        <v>WO2013063594</v>
      </c>
      <c r="B329" s="3" t="s">
        <v>1424</v>
      </c>
      <c r="C329" s="3" t="s">
        <v>1408</v>
      </c>
      <c r="D329" s="3" t="s">
        <v>52</v>
      </c>
      <c r="E329" s="3" t="s">
        <v>52</v>
      </c>
      <c r="F329" s="3" t="s">
        <v>1425</v>
      </c>
      <c r="G329" s="3" t="s">
        <v>1426</v>
      </c>
      <c r="H329" s="3" t="s">
        <v>1411</v>
      </c>
      <c r="I329" s="3" t="s">
        <v>1427</v>
      </c>
      <c r="J329" s="3" t="s">
        <v>1428</v>
      </c>
      <c r="K329" s="3" t="s">
        <v>82</v>
      </c>
      <c r="L329" s="3" t="s">
        <v>1429</v>
      </c>
      <c r="M329" s="3" t="s">
        <v>0</v>
      </c>
      <c r="N329" s="3" t="s">
        <v>0</v>
      </c>
      <c r="O329" s="3">
        <v>42</v>
      </c>
      <c r="P329" s="3">
        <v>9</v>
      </c>
      <c r="Q329" s="3" t="s">
        <v>352</v>
      </c>
      <c r="R329" s="3" t="s">
        <v>61</v>
      </c>
      <c r="S329" s="3">
        <v>2</v>
      </c>
      <c r="T329" s="3">
        <v>0</v>
      </c>
      <c r="U329" s="3">
        <v>2</v>
      </c>
      <c r="V329" s="3">
        <v>2</v>
      </c>
      <c r="W329" s="3">
        <v>1</v>
      </c>
      <c r="X329" s="3" t="s">
        <v>580</v>
      </c>
      <c r="Y329" s="3">
        <v>0</v>
      </c>
      <c r="Z329" s="3">
        <v>1</v>
      </c>
      <c r="AA329" s="3">
        <v>1</v>
      </c>
      <c r="AB329" s="3">
        <v>1</v>
      </c>
      <c r="AC329" s="3">
        <v>59</v>
      </c>
      <c r="AD329" s="3">
        <v>7</v>
      </c>
      <c r="AE329" s="3">
        <v>14</v>
      </c>
      <c r="AF329" s="3" t="s">
        <v>0</v>
      </c>
      <c r="AG329" s="3" t="s">
        <v>0</v>
      </c>
    </row>
    <row r="330" spans="1:33" ht="114.75" x14ac:dyDescent="0.2">
      <c r="A330" s="5" t="str">
        <f>HYPERLINK("http://www.patentics.cn/invokexml.do?sf=ShowPatent&amp;spn=WO2013063597&amp;sv=a84dda2f108a5b5c3935e6e18eca55a9","WO2013063597")</f>
        <v>WO2013063597</v>
      </c>
      <c r="B330" s="3" t="s">
        <v>1430</v>
      </c>
      <c r="C330" s="3" t="s">
        <v>1408</v>
      </c>
      <c r="D330" s="3" t="s">
        <v>52</v>
      </c>
      <c r="E330" s="3" t="s">
        <v>52</v>
      </c>
      <c r="F330" s="3" t="s">
        <v>1425</v>
      </c>
      <c r="G330" s="3" t="s">
        <v>1426</v>
      </c>
      <c r="H330" s="3" t="s">
        <v>1411</v>
      </c>
      <c r="I330" s="3" t="s">
        <v>1427</v>
      </c>
      <c r="J330" s="3" t="s">
        <v>1428</v>
      </c>
      <c r="K330" s="3" t="s">
        <v>82</v>
      </c>
      <c r="L330" s="3" t="s">
        <v>1431</v>
      </c>
      <c r="M330" s="3" t="s">
        <v>0</v>
      </c>
      <c r="N330" s="3" t="s">
        <v>0</v>
      </c>
      <c r="O330" s="3">
        <v>44</v>
      </c>
      <c r="P330" s="3">
        <v>5</v>
      </c>
      <c r="Q330" s="3" t="s">
        <v>352</v>
      </c>
      <c r="R330" s="3" t="s">
        <v>61</v>
      </c>
      <c r="S330" s="3">
        <v>5</v>
      </c>
      <c r="T330" s="3">
        <v>0</v>
      </c>
      <c r="U330" s="3">
        <v>5</v>
      </c>
      <c r="V330" s="3">
        <v>3</v>
      </c>
      <c r="W330" s="3">
        <v>0</v>
      </c>
      <c r="X330" s="3" t="s">
        <v>147</v>
      </c>
      <c r="Y330" s="3">
        <v>0</v>
      </c>
      <c r="Z330" s="3">
        <v>0</v>
      </c>
      <c r="AA330" s="3">
        <v>0</v>
      </c>
      <c r="AB330" s="3">
        <v>0</v>
      </c>
      <c r="AC330" s="3">
        <v>59</v>
      </c>
      <c r="AD330" s="3">
        <v>7</v>
      </c>
      <c r="AE330" s="3">
        <v>14</v>
      </c>
      <c r="AF330" s="3" t="s">
        <v>0</v>
      </c>
      <c r="AG330" s="3" t="s">
        <v>0</v>
      </c>
    </row>
    <row r="331" spans="1:33" ht="114.75" x14ac:dyDescent="0.2">
      <c r="A331" s="5" t="str">
        <f>HYPERLINK("http://www.patentics.cn/invokexml.do?sf=ShowPatent&amp;spn=WO2013063600&amp;sv=08575996ff62c6acdf42aceaf9d4e9c2","WO2013063600")</f>
        <v>WO2013063600</v>
      </c>
      <c r="B331" s="3" t="s">
        <v>1432</v>
      </c>
      <c r="C331" s="3" t="s">
        <v>1408</v>
      </c>
      <c r="D331" s="3" t="s">
        <v>52</v>
      </c>
      <c r="E331" s="3" t="s">
        <v>52</v>
      </c>
      <c r="F331" s="3" t="s">
        <v>1425</v>
      </c>
      <c r="G331" s="3" t="s">
        <v>1426</v>
      </c>
      <c r="H331" s="3" t="s">
        <v>1411</v>
      </c>
      <c r="I331" s="3" t="s">
        <v>1427</v>
      </c>
      <c r="J331" s="3" t="s">
        <v>1428</v>
      </c>
      <c r="K331" s="3" t="s">
        <v>82</v>
      </c>
      <c r="L331" s="3" t="s">
        <v>1431</v>
      </c>
      <c r="M331" s="3" t="s">
        <v>0</v>
      </c>
      <c r="N331" s="3" t="s">
        <v>0</v>
      </c>
      <c r="O331" s="3">
        <v>69</v>
      </c>
      <c r="P331" s="3">
        <v>10</v>
      </c>
      <c r="Q331" s="3" t="s">
        <v>352</v>
      </c>
      <c r="R331" s="3" t="s">
        <v>61</v>
      </c>
      <c r="S331" s="3">
        <v>4</v>
      </c>
      <c r="T331" s="3">
        <v>0</v>
      </c>
      <c r="U331" s="3">
        <v>4</v>
      </c>
      <c r="V331" s="3">
        <v>2</v>
      </c>
      <c r="W331" s="3">
        <v>1</v>
      </c>
      <c r="X331" s="3" t="s">
        <v>933</v>
      </c>
      <c r="Y331" s="3">
        <v>0</v>
      </c>
      <c r="Z331" s="3">
        <v>1</v>
      </c>
      <c r="AA331" s="3">
        <v>1</v>
      </c>
      <c r="AB331" s="3">
        <v>1</v>
      </c>
      <c r="AC331" s="3">
        <v>59</v>
      </c>
      <c r="AD331" s="3">
        <v>7</v>
      </c>
      <c r="AE331" s="3">
        <v>14</v>
      </c>
      <c r="AF331" s="3" t="s">
        <v>0</v>
      </c>
      <c r="AG331" s="3" t="s">
        <v>0</v>
      </c>
    </row>
    <row r="332" spans="1:33" ht="76.5" x14ac:dyDescent="0.2">
      <c r="A332" s="5" t="str">
        <f>HYPERLINK("http://www.patentics.cn/invokexml.do?sf=ShowPatent&amp;spn=WO2013063600A3&amp;sv=e0c8e139ecf3dac8a2f9b9a0415e3926","WO2013063600A3")</f>
        <v>WO2013063600A3</v>
      </c>
      <c r="B332" s="3" t="s">
        <v>1433</v>
      </c>
      <c r="C332" s="3" t="s">
        <v>1434</v>
      </c>
      <c r="D332" s="3" t="s">
        <v>52</v>
      </c>
      <c r="E332" s="3" t="s">
        <v>52</v>
      </c>
      <c r="F332" s="3" t="s">
        <v>1435</v>
      </c>
      <c r="G332" s="3" t="s">
        <v>1436</v>
      </c>
      <c r="H332" s="3" t="s">
        <v>1411</v>
      </c>
      <c r="I332" s="3" t="s">
        <v>1411</v>
      </c>
      <c r="J332" s="3" t="s">
        <v>1437</v>
      </c>
      <c r="K332" s="3" t="s">
        <v>82</v>
      </c>
      <c r="L332" s="3" t="s">
        <v>1431</v>
      </c>
      <c r="M332" s="3" t="s">
        <v>82</v>
      </c>
      <c r="N332" s="3" t="s">
        <v>82</v>
      </c>
      <c r="O332" s="3">
        <v>0</v>
      </c>
      <c r="P332" s="3">
        <v>0</v>
      </c>
      <c r="Q332" s="3" t="s">
        <v>352</v>
      </c>
      <c r="R332" s="3" t="s">
        <v>1387</v>
      </c>
      <c r="S332" s="3">
        <v>6</v>
      </c>
      <c r="T332" s="3">
        <v>0</v>
      </c>
      <c r="U332" s="3">
        <v>6</v>
      </c>
      <c r="V332" s="3">
        <v>3</v>
      </c>
      <c r="W332" s="3">
        <v>0</v>
      </c>
      <c r="X332" s="3" t="s">
        <v>147</v>
      </c>
      <c r="Y332" s="3">
        <v>0</v>
      </c>
      <c r="Z332" s="3">
        <v>0</v>
      </c>
      <c r="AA332" s="3">
        <v>0</v>
      </c>
      <c r="AB332" s="3">
        <v>0</v>
      </c>
      <c r="AC332" s="3">
        <v>0</v>
      </c>
      <c r="AD332" s="3">
        <v>0</v>
      </c>
      <c r="AE332" s="3">
        <v>14</v>
      </c>
      <c r="AF332" s="3" t="s">
        <v>0</v>
      </c>
      <c r="AG332" s="3" t="s">
        <v>0</v>
      </c>
    </row>
    <row r="333" spans="1:33" ht="51" x14ac:dyDescent="0.2">
      <c r="A333" s="4" t="str">
        <f>HYPERLINK("http://www.patentics.cn/invokexml.do?sf=ShowPatent&amp;spn=US20100203906&amp;sv=7e88a95489bcd82aee5eb2afa7656c41","US20100203906")</f>
        <v>US20100203906</v>
      </c>
      <c r="B333" s="2" t="s">
        <v>1438</v>
      </c>
      <c r="C333" s="2" t="s">
        <v>1439</v>
      </c>
      <c r="D333" s="2" t="s">
        <v>346</v>
      </c>
      <c r="E333" s="2" t="s">
        <v>346</v>
      </c>
      <c r="F333" s="2" t="s">
        <v>1440</v>
      </c>
      <c r="G333" s="2" t="s">
        <v>1006</v>
      </c>
      <c r="H333" s="2" t="s">
        <v>1441</v>
      </c>
      <c r="I333" s="2" t="s">
        <v>1442</v>
      </c>
      <c r="J333" s="2" t="s">
        <v>1443</v>
      </c>
      <c r="K333" s="2" t="s">
        <v>82</v>
      </c>
      <c r="L333" s="2" t="s">
        <v>1444</v>
      </c>
      <c r="M333" s="2" t="s">
        <v>82</v>
      </c>
      <c r="N333" s="2" t="s">
        <v>1445</v>
      </c>
      <c r="O333" s="2">
        <v>48</v>
      </c>
      <c r="P333" s="2">
        <v>5</v>
      </c>
      <c r="Q333" s="2" t="s">
        <v>352</v>
      </c>
      <c r="R333" s="2" t="s">
        <v>61</v>
      </c>
      <c r="S333" s="2">
        <v>0</v>
      </c>
      <c r="T333" s="2">
        <v>0</v>
      </c>
      <c r="U333" s="2">
        <v>0</v>
      </c>
      <c r="V333" s="2">
        <v>0</v>
      </c>
      <c r="W333" s="2">
        <v>18</v>
      </c>
      <c r="X333" s="2" t="s">
        <v>1446</v>
      </c>
      <c r="Y333" s="2">
        <v>0</v>
      </c>
      <c r="Z333" s="2">
        <v>18</v>
      </c>
      <c r="AA333" s="2">
        <v>5</v>
      </c>
      <c r="AB333" s="2">
        <v>4</v>
      </c>
      <c r="AC333" s="2">
        <v>5</v>
      </c>
      <c r="AD333" s="2">
        <v>2</v>
      </c>
      <c r="AE333" s="2" t="s">
        <v>0</v>
      </c>
      <c r="AF333" s="2">
        <v>10</v>
      </c>
      <c r="AG333" s="2" t="s">
        <v>49</v>
      </c>
    </row>
    <row r="334" spans="1:33" ht="51" x14ac:dyDescent="0.2">
      <c r="A334" s="5" t="str">
        <f>HYPERLINK("http://www.patentics.cn/invokexml.do?sf=ShowPatent&amp;spn=US8818428&amp;sv=cb4a6c3240536ed34b788b02d462c9e4","US8818428")</f>
        <v>US8818428</v>
      </c>
      <c r="B334" s="3" t="s">
        <v>1447</v>
      </c>
      <c r="C334" s="3" t="s">
        <v>1448</v>
      </c>
      <c r="D334" s="3" t="s">
        <v>52</v>
      </c>
      <c r="E334" s="3" t="s">
        <v>52</v>
      </c>
      <c r="F334" s="3" t="s">
        <v>1449</v>
      </c>
      <c r="G334" s="3" t="s">
        <v>1450</v>
      </c>
      <c r="H334" s="3" t="s">
        <v>1451</v>
      </c>
      <c r="I334" s="3" t="s">
        <v>1452</v>
      </c>
      <c r="J334" s="3" t="s">
        <v>1453</v>
      </c>
      <c r="K334" s="3" t="s">
        <v>82</v>
      </c>
      <c r="L334" s="3" t="s">
        <v>1444</v>
      </c>
      <c r="M334" s="3" t="s">
        <v>82</v>
      </c>
      <c r="N334" s="3" t="s">
        <v>1454</v>
      </c>
      <c r="O334" s="3">
        <v>0</v>
      </c>
      <c r="P334" s="3">
        <v>11</v>
      </c>
      <c r="Q334" s="3" t="s">
        <v>60</v>
      </c>
      <c r="R334" s="3" t="s">
        <v>61</v>
      </c>
      <c r="S334" s="3">
        <v>10</v>
      </c>
      <c r="T334" s="3">
        <v>1</v>
      </c>
      <c r="U334" s="3">
        <v>9</v>
      </c>
      <c r="V334" s="3">
        <v>7</v>
      </c>
      <c r="W334" s="3">
        <v>1</v>
      </c>
      <c r="X334" s="3" t="s">
        <v>1061</v>
      </c>
      <c r="Y334" s="3">
        <v>1</v>
      </c>
      <c r="Z334" s="3">
        <v>0</v>
      </c>
      <c r="AA334" s="3">
        <v>1</v>
      </c>
      <c r="AB334" s="3">
        <v>1</v>
      </c>
      <c r="AC334" s="3">
        <v>8</v>
      </c>
      <c r="AD334" s="3">
        <v>6</v>
      </c>
      <c r="AE334" s="3">
        <v>14</v>
      </c>
      <c r="AF334" s="3" t="s">
        <v>0</v>
      </c>
      <c r="AG334" s="3" t="s">
        <v>49</v>
      </c>
    </row>
    <row r="335" spans="1:33" ht="63.75" x14ac:dyDescent="0.2">
      <c r="A335" s="5" t="str">
        <f>HYPERLINK("http://www.patentics.cn/invokexml.do?sf=ShowPatent&amp;spn=US8862145&amp;sv=c54580644a4a7f3016f833b12d53dbbe","US8862145")</f>
        <v>US8862145</v>
      </c>
      <c r="B335" s="3" t="s">
        <v>1455</v>
      </c>
      <c r="C335" s="3" t="s">
        <v>1456</v>
      </c>
      <c r="D335" s="3" t="s">
        <v>52</v>
      </c>
      <c r="E335" s="3" t="s">
        <v>52</v>
      </c>
      <c r="F335" s="3" t="s">
        <v>1457</v>
      </c>
      <c r="G335" s="3" t="s">
        <v>1458</v>
      </c>
      <c r="H335" s="3" t="s">
        <v>1459</v>
      </c>
      <c r="I335" s="3" t="s">
        <v>1460</v>
      </c>
      <c r="J335" s="3" t="s">
        <v>1461</v>
      </c>
      <c r="K335" s="3" t="s">
        <v>82</v>
      </c>
      <c r="L335" s="3" t="s">
        <v>806</v>
      </c>
      <c r="M335" s="3" t="s">
        <v>82</v>
      </c>
      <c r="N335" s="3" t="s">
        <v>1462</v>
      </c>
      <c r="O335" s="3">
        <v>0</v>
      </c>
      <c r="P335" s="3">
        <v>15</v>
      </c>
      <c r="Q335" s="3" t="s">
        <v>60</v>
      </c>
      <c r="R335" s="3" t="s">
        <v>61</v>
      </c>
      <c r="S335" s="3">
        <v>31</v>
      </c>
      <c r="T335" s="3">
        <v>1</v>
      </c>
      <c r="U335" s="3">
        <v>30</v>
      </c>
      <c r="V335" s="3">
        <v>14</v>
      </c>
      <c r="W335" s="3">
        <v>1</v>
      </c>
      <c r="X335" s="3" t="s">
        <v>1186</v>
      </c>
      <c r="Y335" s="3">
        <v>0</v>
      </c>
      <c r="Z335" s="3">
        <v>1</v>
      </c>
      <c r="AA335" s="3">
        <v>1</v>
      </c>
      <c r="AB335" s="3">
        <v>1</v>
      </c>
      <c r="AC335" s="3">
        <v>4</v>
      </c>
      <c r="AD335" s="3">
        <v>4</v>
      </c>
      <c r="AE335" s="3">
        <v>14</v>
      </c>
      <c r="AF335" s="3" t="s">
        <v>0</v>
      </c>
      <c r="AG335" s="3" t="s">
        <v>49</v>
      </c>
    </row>
    <row r="336" spans="1:33" ht="63.75" x14ac:dyDescent="0.2">
      <c r="A336" s="5" t="str">
        <f>HYPERLINK("http://www.patentics.cn/invokexml.do?sf=ShowPatent&amp;spn=US8862161&amp;sv=e5dd75f9e889d0a1304ee8aa331e89a8","US8862161")</f>
        <v>US8862161</v>
      </c>
      <c r="B336" s="3" t="s">
        <v>1463</v>
      </c>
      <c r="C336" s="3" t="s">
        <v>1464</v>
      </c>
      <c r="D336" s="3" t="s">
        <v>52</v>
      </c>
      <c r="E336" s="3" t="s">
        <v>52</v>
      </c>
      <c r="F336" s="3" t="s">
        <v>1457</v>
      </c>
      <c r="G336" s="3" t="s">
        <v>1458</v>
      </c>
      <c r="H336" s="3" t="s">
        <v>1465</v>
      </c>
      <c r="I336" s="3" t="s">
        <v>1465</v>
      </c>
      <c r="J336" s="3" t="s">
        <v>1461</v>
      </c>
      <c r="K336" s="3" t="s">
        <v>82</v>
      </c>
      <c r="L336" s="3" t="s">
        <v>827</v>
      </c>
      <c r="M336" s="3" t="s">
        <v>82</v>
      </c>
      <c r="N336" s="3" t="s">
        <v>1466</v>
      </c>
      <c r="O336" s="3">
        <v>0</v>
      </c>
      <c r="P336" s="3">
        <v>11</v>
      </c>
      <c r="Q336" s="3" t="s">
        <v>60</v>
      </c>
      <c r="R336" s="3" t="s">
        <v>61</v>
      </c>
      <c r="S336" s="3">
        <v>17</v>
      </c>
      <c r="T336" s="3">
        <v>4</v>
      </c>
      <c r="U336" s="3">
        <v>13</v>
      </c>
      <c r="V336" s="3">
        <v>8</v>
      </c>
      <c r="W336" s="3">
        <v>0</v>
      </c>
      <c r="X336" s="3" t="s">
        <v>147</v>
      </c>
      <c r="Y336" s="3">
        <v>0</v>
      </c>
      <c r="Z336" s="3">
        <v>0</v>
      </c>
      <c r="AA336" s="3">
        <v>0</v>
      </c>
      <c r="AB336" s="3">
        <v>0</v>
      </c>
      <c r="AC336" s="3">
        <v>3</v>
      </c>
      <c r="AD336" s="3">
        <v>3</v>
      </c>
      <c r="AE336" s="3">
        <v>14</v>
      </c>
      <c r="AF336" s="3" t="s">
        <v>0</v>
      </c>
      <c r="AG336" s="3" t="s">
        <v>49</v>
      </c>
    </row>
    <row r="337" spans="1:33" ht="127.5" x14ac:dyDescent="0.2">
      <c r="A337" s="5" t="str">
        <f>HYPERLINK("http://www.patentics.cn/invokexml.do?sf=ShowPatent&amp;spn=US8880106&amp;sv=999552540e62a198014978d8d65c391f","US8880106")</f>
        <v>US8880106</v>
      </c>
      <c r="B337" s="3" t="s">
        <v>1467</v>
      </c>
      <c r="C337" s="3" t="s">
        <v>1468</v>
      </c>
      <c r="D337" s="3" t="s">
        <v>52</v>
      </c>
      <c r="E337" s="3" t="s">
        <v>52</v>
      </c>
      <c r="F337" s="3" t="s">
        <v>1469</v>
      </c>
      <c r="G337" s="3" t="s">
        <v>1470</v>
      </c>
      <c r="H337" s="3" t="s">
        <v>1471</v>
      </c>
      <c r="I337" s="3" t="s">
        <v>1472</v>
      </c>
      <c r="J337" s="3" t="s">
        <v>187</v>
      </c>
      <c r="K337" s="3" t="s">
        <v>82</v>
      </c>
      <c r="L337" s="3" t="s">
        <v>827</v>
      </c>
      <c r="M337" s="3" t="s">
        <v>82</v>
      </c>
      <c r="N337" s="3" t="s">
        <v>1473</v>
      </c>
      <c r="O337" s="3">
        <v>0</v>
      </c>
      <c r="P337" s="3">
        <v>12</v>
      </c>
      <c r="Q337" s="3" t="s">
        <v>60</v>
      </c>
      <c r="R337" s="3" t="s">
        <v>61</v>
      </c>
      <c r="S337" s="3">
        <v>21</v>
      </c>
      <c r="T337" s="3">
        <v>4</v>
      </c>
      <c r="U337" s="3">
        <v>17</v>
      </c>
      <c r="V337" s="3">
        <v>13</v>
      </c>
      <c r="W337" s="3">
        <v>0</v>
      </c>
      <c r="X337" s="3" t="s">
        <v>147</v>
      </c>
      <c r="Y337" s="3">
        <v>0</v>
      </c>
      <c r="Z337" s="3">
        <v>0</v>
      </c>
      <c r="AA337" s="3">
        <v>0</v>
      </c>
      <c r="AB337" s="3">
        <v>0</v>
      </c>
      <c r="AC337" s="3">
        <v>14</v>
      </c>
      <c r="AD337" s="3">
        <v>6</v>
      </c>
      <c r="AE337" s="3">
        <v>14</v>
      </c>
      <c r="AF337" s="3" t="s">
        <v>0</v>
      </c>
      <c r="AG337" s="3" t="s">
        <v>49</v>
      </c>
    </row>
    <row r="338" spans="1:33" ht="63.75" x14ac:dyDescent="0.2">
      <c r="A338" s="5" t="str">
        <f>HYPERLINK("http://www.patentics.cn/invokexml.do?sf=ShowPatent&amp;spn=US9125043&amp;sv=e1d79d591f48c58db3fa7dacc6467222","US9125043")</f>
        <v>US9125043</v>
      </c>
      <c r="B338" s="3" t="s">
        <v>1474</v>
      </c>
      <c r="C338" s="3" t="s">
        <v>1475</v>
      </c>
      <c r="D338" s="3" t="s">
        <v>52</v>
      </c>
      <c r="E338" s="3" t="s">
        <v>52</v>
      </c>
      <c r="F338" s="3" t="s">
        <v>1457</v>
      </c>
      <c r="G338" s="3" t="s">
        <v>1458</v>
      </c>
      <c r="H338" s="3" t="s">
        <v>1465</v>
      </c>
      <c r="I338" s="3" t="s">
        <v>1465</v>
      </c>
      <c r="J338" s="3" t="s">
        <v>816</v>
      </c>
      <c r="K338" s="3" t="s">
        <v>82</v>
      </c>
      <c r="L338" s="3" t="s">
        <v>827</v>
      </c>
      <c r="M338" s="3" t="s">
        <v>0</v>
      </c>
      <c r="N338" s="3" t="s">
        <v>0</v>
      </c>
      <c r="O338" s="3">
        <v>0</v>
      </c>
      <c r="P338" s="3">
        <v>21</v>
      </c>
      <c r="Q338" s="3" t="s">
        <v>60</v>
      </c>
      <c r="R338" s="3" t="s">
        <v>61</v>
      </c>
      <c r="S338" s="3">
        <v>22</v>
      </c>
      <c r="T338" s="3">
        <v>4</v>
      </c>
      <c r="U338" s="3">
        <v>18</v>
      </c>
      <c r="V338" s="3">
        <v>10</v>
      </c>
      <c r="W338" s="3">
        <v>0</v>
      </c>
      <c r="X338" s="3" t="s">
        <v>147</v>
      </c>
      <c r="Y338" s="3">
        <v>0</v>
      </c>
      <c r="Z338" s="3">
        <v>0</v>
      </c>
      <c r="AA338" s="3">
        <v>0</v>
      </c>
      <c r="AB338" s="3">
        <v>0</v>
      </c>
      <c r="AC338" s="3">
        <v>3</v>
      </c>
      <c r="AD338" s="3">
        <v>3</v>
      </c>
      <c r="AE338" s="3">
        <v>14</v>
      </c>
      <c r="AF338" s="3" t="s">
        <v>0</v>
      </c>
      <c r="AG338" s="3" t="s">
        <v>49</v>
      </c>
    </row>
    <row r="339" spans="1:33" ht="51" x14ac:dyDescent="0.2">
      <c r="A339" s="5" t="str">
        <f>HYPERLINK("http://www.patentics.cn/invokexml.do?sf=ShowPatent&amp;spn=US9282536&amp;sv=9ba0ff1da689859f0bf149f90baea398","US9282536")</f>
        <v>US9282536</v>
      </c>
      <c r="B339" s="3" t="s">
        <v>1476</v>
      </c>
      <c r="C339" s="3" t="s">
        <v>1477</v>
      </c>
      <c r="D339" s="3" t="s">
        <v>52</v>
      </c>
      <c r="E339" s="3" t="s">
        <v>52</v>
      </c>
      <c r="F339" s="3" t="s">
        <v>1478</v>
      </c>
      <c r="G339" s="3" t="s">
        <v>1478</v>
      </c>
      <c r="H339" s="3" t="s">
        <v>1479</v>
      </c>
      <c r="I339" s="3" t="s">
        <v>1479</v>
      </c>
      <c r="J339" s="3" t="s">
        <v>683</v>
      </c>
      <c r="K339" s="3" t="s">
        <v>82</v>
      </c>
      <c r="L339" s="3" t="s">
        <v>827</v>
      </c>
      <c r="M339" s="3" t="s">
        <v>82</v>
      </c>
      <c r="N339" s="3" t="s">
        <v>1473</v>
      </c>
      <c r="O339" s="3">
        <v>0</v>
      </c>
      <c r="P339" s="3">
        <v>15</v>
      </c>
      <c r="Q339" s="3" t="s">
        <v>60</v>
      </c>
      <c r="R339" s="3" t="s">
        <v>61</v>
      </c>
      <c r="S339" s="3">
        <v>16</v>
      </c>
      <c r="T339" s="3">
        <v>4</v>
      </c>
      <c r="U339" s="3">
        <v>12</v>
      </c>
      <c r="V339" s="3">
        <v>8</v>
      </c>
      <c r="W339" s="3">
        <v>0</v>
      </c>
      <c r="X339" s="3" t="s">
        <v>147</v>
      </c>
      <c r="Y339" s="3">
        <v>0</v>
      </c>
      <c r="Z339" s="3">
        <v>0</v>
      </c>
      <c r="AA339" s="3">
        <v>0</v>
      </c>
      <c r="AB339" s="3">
        <v>0</v>
      </c>
      <c r="AC339" s="3">
        <v>2</v>
      </c>
      <c r="AD339" s="3">
        <v>2</v>
      </c>
      <c r="AE339" s="3">
        <v>14</v>
      </c>
      <c r="AF339" s="3" t="s">
        <v>0</v>
      </c>
      <c r="AG339" s="3" t="s">
        <v>49</v>
      </c>
    </row>
    <row r="340" spans="1:33" ht="127.5" x14ac:dyDescent="0.2">
      <c r="A340" s="5" t="str">
        <f>HYPERLINK("http://www.patentics.cn/invokexml.do?sf=ShowPatent&amp;spn=US9398561&amp;sv=5788aaa954b48d268069d1966e5551ac","US9398561")</f>
        <v>US9398561</v>
      </c>
      <c r="B340" s="3" t="s">
        <v>1480</v>
      </c>
      <c r="C340" s="3" t="s">
        <v>1468</v>
      </c>
      <c r="D340" s="3" t="s">
        <v>52</v>
      </c>
      <c r="E340" s="3" t="s">
        <v>52</v>
      </c>
      <c r="F340" s="3" t="s">
        <v>1469</v>
      </c>
      <c r="G340" s="3" t="s">
        <v>1470</v>
      </c>
      <c r="H340" s="3" t="s">
        <v>1471</v>
      </c>
      <c r="I340" s="3" t="s">
        <v>1481</v>
      </c>
      <c r="J340" s="3" t="s">
        <v>1293</v>
      </c>
      <c r="K340" s="3" t="s">
        <v>82</v>
      </c>
      <c r="L340" s="3" t="s">
        <v>1444</v>
      </c>
      <c r="M340" s="3" t="s">
        <v>82</v>
      </c>
      <c r="N340" s="3" t="s">
        <v>1473</v>
      </c>
      <c r="O340" s="3">
        <v>0</v>
      </c>
      <c r="P340" s="3">
        <v>13</v>
      </c>
      <c r="Q340" s="3" t="s">
        <v>60</v>
      </c>
      <c r="R340" s="3" t="s">
        <v>61</v>
      </c>
      <c r="S340" s="3">
        <v>30</v>
      </c>
      <c r="T340" s="3">
        <v>7</v>
      </c>
      <c r="U340" s="3">
        <v>23</v>
      </c>
      <c r="V340" s="3">
        <v>16</v>
      </c>
      <c r="W340" s="3">
        <v>0</v>
      </c>
      <c r="X340" s="3" t="s">
        <v>147</v>
      </c>
      <c r="Y340" s="3">
        <v>0</v>
      </c>
      <c r="Z340" s="3">
        <v>0</v>
      </c>
      <c r="AA340" s="3">
        <v>0</v>
      </c>
      <c r="AB340" s="3">
        <v>0</v>
      </c>
      <c r="AC340" s="3">
        <v>14</v>
      </c>
      <c r="AD340" s="3">
        <v>6</v>
      </c>
      <c r="AE340" s="3">
        <v>14</v>
      </c>
      <c r="AF340" s="3" t="s">
        <v>0</v>
      </c>
      <c r="AG340" s="3" t="s">
        <v>49</v>
      </c>
    </row>
    <row r="341" spans="1:33" ht="51" x14ac:dyDescent="0.2">
      <c r="A341" s="5" t="str">
        <f>HYPERLINK("http://www.patentics.cn/invokexml.do?sf=ShowPatent&amp;spn=WO2012051347&amp;sv=c4086dba0d2651bf29432f9e92baa61d","WO2012051347")</f>
        <v>WO2012051347</v>
      </c>
      <c r="B341" s="3" t="s">
        <v>1482</v>
      </c>
      <c r="C341" s="3" t="s">
        <v>1483</v>
      </c>
      <c r="D341" s="3" t="s">
        <v>1484</v>
      </c>
      <c r="E341" s="3" t="s">
        <v>1485</v>
      </c>
      <c r="F341" s="3" t="s">
        <v>1486</v>
      </c>
      <c r="G341" s="3" t="s">
        <v>1487</v>
      </c>
      <c r="H341" s="3" t="s">
        <v>1465</v>
      </c>
      <c r="I341" s="3" t="s">
        <v>1488</v>
      </c>
      <c r="J341" s="3" t="s">
        <v>1489</v>
      </c>
      <c r="K341" s="3" t="s">
        <v>82</v>
      </c>
      <c r="L341" s="3" t="s">
        <v>1490</v>
      </c>
      <c r="M341" s="3" t="s">
        <v>0</v>
      </c>
      <c r="N341" s="3" t="s">
        <v>0</v>
      </c>
      <c r="O341" s="3">
        <v>40</v>
      </c>
      <c r="P341" s="3">
        <v>8</v>
      </c>
      <c r="Q341" s="3" t="s">
        <v>352</v>
      </c>
      <c r="R341" s="3" t="s">
        <v>61</v>
      </c>
      <c r="S341" s="3">
        <v>2</v>
      </c>
      <c r="T341" s="3">
        <v>0</v>
      </c>
      <c r="U341" s="3">
        <v>2</v>
      </c>
      <c r="V341" s="3">
        <v>2</v>
      </c>
      <c r="W341" s="3">
        <v>0</v>
      </c>
      <c r="X341" s="3" t="s">
        <v>147</v>
      </c>
      <c r="Y341" s="3">
        <v>0</v>
      </c>
      <c r="Z341" s="3">
        <v>0</v>
      </c>
      <c r="AA341" s="3">
        <v>0</v>
      </c>
      <c r="AB341" s="3">
        <v>0</v>
      </c>
      <c r="AC341" s="3">
        <v>3</v>
      </c>
      <c r="AD341" s="3">
        <v>3</v>
      </c>
      <c r="AE341" s="3">
        <v>14</v>
      </c>
      <c r="AF341" s="3" t="s">
        <v>0</v>
      </c>
      <c r="AG341" s="3" t="s">
        <v>0</v>
      </c>
    </row>
    <row r="342" spans="1:33" ht="51" x14ac:dyDescent="0.2">
      <c r="A342" s="5" t="str">
        <f>HYPERLINK("http://www.patentics.cn/invokexml.do?sf=ShowPatent&amp;spn=WO2012051348&amp;sv=61baba856e8ce78f8f574482355f7258","WO2012051348")</f>
        <v>WO2012051348</v>
      </c>
      <c r="B342" s="3" t="s">
        <v>1491</v>
      </c>
      <c r="C342" s="3" t="s">
        <v>1492</v>
      </c>
      <c r="D342" s="3" t="s">
        <v>1484</v>
      </c>
      <c r="E342" s="3" t="s">
        <v>1485</v>
      </c>
      <c r="F342" s="3" t="s">
        <v>1486</v>
      </c>
      <c r="G342" s="3" t="s">
        <v>1487</v>
      </c>
      <c r="H342" s="3" t="s">
        <v>1465</v>
      </c>
      <c r="I342" s="3" t="s">
        <v>1488</v>
      </c>
      <c r="J342" s="3" t="s">
        <v>1489</v>
      </c>
      <c r="K342" s="3" t="s">
        <v>82</v>
      </c>
      <c r="L342" s="3" t="s">
        <v>1490</v>
      </c>
      <c r="M342" s="3" t="s">
        <v>0</v>
      </c>
      <c r="N342" s="3" t="s">
        <v>0</v>
      </c>
      <c r="O342" s="3">
        <v>40</v>
      </c>
      <c r="P342" s="3">
        <v>10</v>
      </c>
      <c r="Q342" s="3" t="s">
        <v>352</v>
      </c>
      <c r="R342" s="3" t="s">
        <v>61</v>
      </c>
      <c r="S342" s="3">
        <v>3</v>
      </c>
      <c r="T342" s="3">
        <v>0</v>
      </c>
      <c r="U342" s="3">
        <v>3</v>
      </c>
      <c r="V342" s="3">
        <v>3</v>
      </c>
      <c r="W342" s="3">
        <v>1</v>
      </c>
      <c r="X342" s="3" t="s">
        <v>1206</v>
      </c>
      <c r="Y342" s="3">
        <v>1</v>
      </c>
      <c r="Z342" s="3">
        <v>0</v>
      </c>
      <c r="AA342" s="3">
        <v>1</v>
      </c>
      <c r="AB342" s="3">
        <v>1</v>
      </c>
      <c r="AC342" s="3">
        <v>3</v>
      </c>
      <c r="AD342" s="3">
        <v>3</v>
      </c>
      <c r="AE342" s="3">
        <v>14</v>
      </c>
      <c r="AF342" s="3" t="s">
        <v>0</v>
      </c>
      <c r="AG342" s="3" t="s">
        <v>0</v>
      </c>
    </row>
    <row r="343" spans="1:33" ht="114.75" x14ac:dyDescent="0.2">
      <c r="A343" s="5" t="str">
        <f>HYPERLINK("http://www.patentics.cn/invokexml.do?sf=ShowPatent&amp;spn=WO2012106664&amp;sv=05e9216b4dd8a7dff0137443f6991a9c","WO2012106664")</f>
        <v>WO2012106664</v>
      </c>
      <c r="B343" s="3" t="s">
        <v>1493</v>
      </c>
      <c r="C343" s="3" t="s">
        <v>1494</v>
      </c>
      <c r="D343" s="3" t="s">
        <v>1495</v>
      </c>
      <c r="E343" s="3" t="s">
        <v>1496</v>
      </c>
      <c r="F343" s="3" t="s">
        <v>1497</v>
      </c>
      <c r="G343" s="3" t="s">
        <v>1498</v>
      </c>
      <c r="H343" s="3" t="s">
        <v>1471</v>
      </c>
      <c r="I343" s="3" t="s">
        <v>1499</v>
      </c>
      <c r="J343" s="3" t="s">
        <v>1500</v>
      </c>
      <c r="K343" s="3" t="s">
        <v>82</v>
      </c>
      <c r="L343" s="3" t="s">
        <v>1444</v>
      </c>
      <c r="M343" s="3" t="s">
        <v>0</v>
      </c>
      <c r="N343" s="3" t="s">
        <v>0</v>
      </c>
      <c r="O343" s="3">
        <v>48</v>
      </c>
      <c r="P343" s="3">
        <v>6</v>
      </c>
      <c r="Q343" s="3" t="s">
        <v>352</v>
      </c>
      <c r="R343" s="3" t="s">
        <v>61</v>
      </c>
      <c r="S343" s="3">
        <v>6</v>
      </c>
      <c r="T343" s="3">
        <v>0</v>
      </c>
      <c r="U343" s="3">
        <v>6</v>
      </c>
      <c r="V343" s="3">
        <v>4</v>
      </c>
      <c r="W343" s="3">
        <v>3</v>
      </c>
      <c r="X343" s="3" t="s">
        <v>1501</v>
      </c>
      <c r="Y343" s="3">
        <v>2</v>
      </c>
      <c r="Z343" s="3">
        <v>1</v>
      </c>
      <c r="AA343" s="3">
        <v>2</v>
      </c>
      <c r="AB343" s="3">
        <v>2</v>
      </c>
      <c r="AC343" s="3">
        <v>14</v>
      </c>
      <c r="AD343" s="3">
        <v>6</v>
      </c>
      <c r="AE343" s="3">
        <v>14</v>
      </c>
      <c r="AF343" s="3" t="s">
        <v>0</v>
      </c>
      <c r="AG343" s="3" t="s">
        <v>0</v>
      </c>
    </row>
    <row r="344" spans="1:33" ht="89.25" x14ac:dyDescent="0.2">
      <c r="A344" s="4" t="str">
        <f>HYPERLINK("http://www.patentics.cn/invokexml.do?sf=ShowPatent&amp;spn=US20040114553&amp;sv=d9085ae7b44eb26bc69874b1363ee16c","US20040114553")</f>
        <v>US20040114553</v>
      </c>
      <c r="B344" s="2" t="s">
        <v>1502</v>
      </c>
      <c r="C344" s="2" t="s">
        <v>1208</v>
      </c>
      <c r="D344" s="2" t="s">
        <v>346</v>
      </c>
      <c r="E344" s="2" t="s">
        <v>346</v>
      </c>
      <c r="F344" s="2" t="s">
        <v>1503</v>
      </c>
      <c r="G344" s="2" t="s">
        <v>1504</v>
      </c>
      <c r="H344" s="2" t="s">
        <v>1211</v>
      </c>
      <c r="I344" s="2" t="s">
        <v>1212</v>
      </c>
      <c r="J344" s="2" t="s">
        <v>1505</v>
      </c>
      <c r="K344" s="2" t="s">
        <v>43</v>
      </c>
      <c r="L344" s="2" t="s">
        <v>57</v>
      </c>
      <c r="M344" s="2" t="s">
        <v>0</v>
      </c>
      <c r="N344" s="2" t="s">
        <v>0</v>
      </c>
      <c r="O344" s="2">
        <v>19</v>
      </c>
      <c r="P344" s="2">
        <v>9</v>
      </c>
      <c r="Q344" s="2" t="s">
        <v>352</v>
      </c>
      <c r="R344" s="2" t="s">
        <v>61</v>
      </c>
      <c r="S344" s="2">
        <v>0</v>
      </c>
      <c r="T344" s="2">
        <v>0</v>
      </c>
      <c r="U344" s="2">
        <v>0</v>
      </c>
      <c r="V344" s="2">
        <v>0</v>
      </c>
      <c r="W344" s="2">
        <v>121</v>
      </c>
      <c r="X344" s="2" t="s">
        <v>1506</v>
      </c>
      <c r="Y344" s="2">
        <v>1</v>
      </c>
      <c r="Z344" s="2">
        <v>120</v>
      </c>
      <c r="AA344" s="2">
        <v>32</v>
      </c>
      <c r="AB344" s="2">
        <v>7</v>
      </c>
      <c r="AC344" s="2">
        <v>6</v>
      </c>
      <c r="AD344" s="2">
        <v>3</v>
      </c>
      <c r="AE344" s="2" t="s">
        <v>0</v>
      </c>
      <c r="AF344" s="2">
        <v>10</v>
      </c>
      <c r="AG344" s="2" t="s">
        <v>49</v>
      </c>
    </row>
    <row r="345" spans="1:33" ht="63.75" x14ac:dyDescent="0.2">
      <c r="A345" s="5" t="str">
        <f>HYPERLINK("http://www.patentics.cn/invokexml.do?sf=ShowPatent&amp;spn=US7889697&amp;sv=1f7750abe1ecb3dad6971e2920d7fc84","US7889697")</f>
        <v>US7889697</v>
      </c>
      <c r="B345" s="3" t="s">
        <v>1507</v>
      </c>
      <c r="C345" s="3" t="s">
        <v>1508</v>
      </c>
      <c r="D345" s="3" t="s">
        <v>52</v>
      </c>
      <c r="E345" s="3" t="s">
        <v>52</v>
      </c>
      <c r="F345" s="3" t="s">
        <v>1509</v>
      </c>
      <c r="G345" s="3" t="s">
        <v>1510</v>
      </c>
      <c r="H345" s="3" t="s">
        <v>1511</v>
      </c>
      <c r="I345" s="3" t="s">
        <v>1512</v>
      </c>
      <c r="J345" s="3" t="s">
        <v>1513</v>
      </c>
      <c r="K345" s="3" t="s">
        <v>82</v>
      </c>
      <c r="L345" s="3" t="s">
        <v>83</v>
      </c>
      <c r="M345" s="3" t="s">
        <v>58</v>
      </c>
      <c r="N345" s="3" t="s">
        <v>1514</v>
      </c>
      <c r="O345" s="3">
        <v>0</v>
      </c>
      <c r="P345" s="3">
        <v>12</v>
      </c>
      <c r="Q345" s="3" t="s">
        <v>60</v>
      </c>
      <c r="R345" s="3" t="s">
        <v>61</v>
      </c>
      <c r="S345" s="3">
        <v>19</v>
      </c>
      <c r="T345" s="3">
        <v>2</v>
      </c>
      <c r="U345" s="3">
        <v>17</v>
      </c>
      <c r="V345" s="3">
        <v>13</v>
      </c>
      <c r="W345" s="3">
        <v>5</v>
      </c>
      <c r="X345" s="3" t="s">
        <v>444</v>
      </c>
      <c r="Y345" s="3">
        <v>0</v>
      </c>
      <c r="Z345" s="3">
        <v>5</v>
      </c>
      <c r="AA345" s="3">
        <v>3</v>
      </c>
      <c r="AB345" s="3">
        <v>1</v>
      </c>
      <c r="AC345" s="3">
        <v>7</v>
      </c>
      <c r="AD345" s="3">
        <v>6</v>
      </c>
      <c r="AE345" s="3">
        <v>14</v>
      </c>
      <c r="AF345" s="3" t="s">
        <v>0</v>
      </c>
      <c r="AG345" s="3" t="s">
        <v>755</v>
      </c>
    </row>
    <row r="346" spans="1:33" ht="76.5" x14ac:dyDescent="0.2">
      <c r="A346" s="5" t="str">
        <f>HYPERLINK("http://www.patentics.cn/invokexml.do?sf=ShowPatent&amp;spn=US8064927&amp;sv=a4696b3ac81cfc91c343f5c903af0213","US8064927")</f>
        <v>US8064927</v>
      </c>
      <c r="B346" s="3" t="s">
        <v>1515</v>
      </c>
      <c r="C346" s="3" t="s">
        <v>1516</v>
      </c>
      <c r="D346" s="3" t="s">
        <v>52</v>
      </c>
      <c r="E346" s="3" t="s">
        <v>52</v>
      </c>
      <c r="F346" s="3" t="s">
        <v>1517</v>
      </c>
      <c r="G346" s="3" t="s">
        <v>1518</v>
      </c>
      <c r="H346" s="3" t="s">
        <v>859</v>
      </c>
      <c r="I346" s="3" t="s">
        <v>1519</v>
      </c>
      <c r="J346" s="3" t="s">
        <v>1520</v>
      </c>
      <c r="K346" s="3" t="s">
        <v>43</v>
      </c>
      <c r="L346" s="3" t="s">
        <v>377</v>
      </c>
      <c r="M346" s="3" t="s">
        <v>58</v>
      </c>
      <c r="N346" s="3" t="s">
        <v>1521</v>
      </c>
      <c r="O346" s="3">
        <v>0</v>
      </c>
      <c r="P346" s="3">
        <v>11</v>
      </c>
      <c r="Q346" s="3" t="s">
        <v>60</v>
      </c>
      <c r="R346" s="3" t="s">
        <v>61</v>
      </c>
      <c r="S346" s="3">
        <v>94</v>
      </c>
      <c r="T346" s="3">
        <v>4</v>
      </c>
      <c r="U346" s="3">
        <v>90</v>
      </c>
      <c r="V346" s="3">
        <v>39</v>
      </c>
      <c r="W346" s="3">
        <v>20</v>
      </c>
      <c r="X346" s="3" t="s">
        <v>580</v>
      </c>
      <c r="Y346" s="3">
        <v>0</v>
      </c>
      <c r="Z346" s="3">
        <v>20</v>
      </c>
      <c r="AA346" s="3">
        <v>2</v>
      </c>
      <c r="AB346" s="3">
        <v>2</v>
      </c>
      <c r="AC346" s="3">
        <v>31</v>
      </c>
      <c r="AD346" s="3">
        <v>10</v>
      </c>
      <c r="AE346" s="3">
        <v>14</v>
      </c>
      <c r="AF346" s="3" t="s">
        <v>0</v>
      </c>
      <c r="AG346" s="3" t="s">
        <v>49</v>
      </c>
    </row>
    <row r="347" spans="1:33" ht="63.75" x14ac:dyDescent="0.2">
      <c r="A347" s="5" t="str">
        <f>HYPERLINK("http://www.patentics.cn/invokexml.do?sf=ShowPatent&amp;spn=US8233416&amp;sv=b993645fdba51eaca8b6ed57c3a2b08a","US8233416")</f>
        <v>US8233416</v>
      </c>
      <c r="B347" s="3" t="s">
        <v>1522</v>
      </c>
      <c r="C347" s="3" t="s">
        <v>1523</v>
      </c>
      <c r="D347" s="3" t="s">
        <v>52</v>
      </c>
      <c r="E347" s="3" t="s">
        <v>52</v>
      </c>
      <c r="F347" s="3" t="s">
        <v>1524</v>
      </c>
      <c r="G347" s="3" t="s">
        <v>1525</v>
      </c>
      <c r="H347" s="3" t="s">
        <v>1526</v>
      </c>
      <c r="I347" s="3" t="s">
        <v>1527</v>
      </c>
      <c r="J347" s="3" t="s">
        <v>1528</v>
      </c>
      <c r="K347" s="3" t="s">
        <v>84</v>
      </c>
      <c r="L347" s="3" t="s">
        <v>163</v>
      </c>
      <c r="M347" s="3" t="s">
        <v>82</v>
      </c>
      <c r="N347" s="3" t="s">
        <v>1529</v>
      </c>
      <c r="O347" s="3">
        <v>0</v>
      </c>
      <c r="P347" s="3">
        <v>13</v>
      </c>
      <c r="Q347" s="3" t="s">
        <v>60</v>
      </c>
      <c r="R347" s="3" t="s">
        <v>61</v>
      </c>
      <c r="S347" s="3">
        <v>34</v>
      </c>
      <c r="T347" s="3">
        <v>3</v>
      </c>
      <c r="U347" s="3">
        <v>31</v>
      </c>
      <c r="V347" s="3">
        <v>23</v>
      </c>
      <c r="W347" s="3">
        <v>1</v>
      </c>
      <c r="X347" s="3" t="s">
        <v>108</v>
      </c>
      <c r="Y347" s="3">
        <v>1</v>
      </c>
      <c r="Z347" s="3">
        <v>0</v>
      </c>
      <c r="AA347" s="3">
        <v>1</v>
      </c>
      <c r="AB347" s="3">
        <v>1</v>
      </c>
      <c r="AC347" s="3">
        <v>22</v>
      </c>
      <c r="AD347" s="3">
        <v>13</v>
      </c>
      <c r="AE347" s="3">
        <v>14</v>
      </c>
      <c r="AF347" s="3" t="s">
        <v>0</v>
      </c>
      <c r="AG347" s="3" t="s">
        <v>49</v>
      </c>
    </row>
    <row r="348" spans="1:33" ht="89.25" x14ac:dyDescent="0.2">
      <c r="A348" s="5" t="str">
        <f>HYPERLINK("http://www.patentics.cn/invokexml.do?sf=ShowPatent&amp;spn=US8626172&amp;sv=91b2a2dd244cd04d82eb1bf3352c992f","US8626172")</f>
        <v>US8626172</v>
      </c>
      <c r="B348" s="3" t="s">
        <v>1530</v>
      </c>
      <c r="C348" s="3" t="s">
        <v>1531</v>
      </c>
      <c r="D348" s="3" t="s">
        <v>52</v>
      </c>
      <c r="E348" s="3" t="s">
        <v>52</v>
      </c>
      <c r="F348" s="3" t="s">
        <v>1532</v>
      </c>
      <c r="G348" s="3" t="s">
        <v>1533</v>
      </c>
      <c r="H348" s="3" t="s">
        <v>1534</v>
      </c>
      <c r="I348" s="3" t="s">
        <v>1535</v>
      </c>
      <c r="J348" s="3" t="s">
        <v>1536</v>
      </c>
      <c r="K348" s="3" t="s">
        <v>82</v>
      </c>
      <c r="L348" s="3" t="s">
        <v>177</v>
      </c>
      <c r="M348" s="3" t="s">
        <v>82</v>
      </c>
      <c r="N348" s="3" t="s">
        <v>1537</v>
      </c>
      <c r="O348" s="3">
        <v>0</v>
      </c>
      <c r="P348" s="3">
        <v>22</v>
      </c>
      <c r="Q348" s="3" t="s">
        <v>60</v>
      </c>
      <c r="R348" s="3" t="s">
        <v>61</v>
      </c>
      <c r="S348" s="3">
        <v>41</v>
      </c>
      <c r="T348" s="3">
        <v>2</v>
      </c>
      <c r="U348" s="3">
        <v>39</v>
      </c>
      <c r="V348" s="3">
        <v>26</v>
      </c>
      <c r="W348" s="3">
        <v>0</v>
      </c>
      <c r="X348" s="3" t="s">
        <v>147</v>
      </c>
      <c r="Y348" s="3">
        <v>0</v>
      </c>
      <c r="Z348" s="3">
        <v>0</v>
      </c>
      <c r="AA348" s="3">
        <v>0</v>
      </c>
      <c r="AB348" s="3">
        <v>0</v>
      </c>
      <c r="AC348" s="3">
        <v>30</v>
      </c>
      <c r="AD348" s="3">
        <v>16</v>
      </c>
      <c r="AE348" s="3">
        <v>14</v>
      </c>
      <c r="AF348" s="3" t="s">
        <v>0</v>
      </c>
      <c r="AG348" s="3" t="s">
        <v>49</v>
      </c>
    </row>
    <row r="349" spans="1:33" ht="153" x14ac:dyDescent="0.2">
      <c r="A349" s="5" t="str">
        <f>HYPERLINK("http://www.patentics.cn/invokexml.do?sf=ShowPatent&amp;spn=US8769611&amp;sv=2b7193cfe36b0d93b57194c5a4aaa781","US8769611")</f>
        <v>US8769611</v>
      </c>
      <c r="B349" s="3" t="s">
        <v>1538</v>
      </c>
      <c r="C349" s="3" t="s">
        <v>1539</v>
      </c>
      <c r="D349" s="3" t="s">
        <v>52</v>
      </c>
      <c r="E349" s="3" t="s">
        <v>52</v>
      </c>
      <c r="F349" s="3" t="s">
        <v>1540</v>
      </c>
      <c r="G349" s="3" t="s">
        <v>1541</v>
      </c>
      <c r="H349" s="3" t="s">
        <v>1542</v>
      </c>
      <c r="I349" s="3" t="s">
        <v>1543</v>
      </c>
      <c r="J349" s="3" t="s">
        <v>1544</v>
      </c>
      <c r="K349" s="3" t="s">
        <v>555</v>
      </c>
      <c r="L349" s="3" t="s">
        <v>1545</v>
      </c>
      <c r="M349" s="3" t="s">
        <v>58</v>
      </c>
      <c r="N349" s="3" t="s">
        <v>1546</v>
      </c>
      <c r="O349" s="3">
        <v>0</v>
      </c>
      <c r="P349" s="3">
        <v>18</v>
      </c>
      <c r="Q349" s="3" t="s">
        <v>60</v>
      </c>
      <c r="R349" s="3" t="s">
        <v>61</v>
      </c>
      <c r="S349" s="3">
        <v>20</v>
      </c>
      <c r="T349" s="3">
        <v>2</v>
      </c>
      <c r="U349" s="3">
        <v>18</v>
      </c>
      <c r="V349" s="3">
        <v>11</v>
      </c>
      <c r="W349" s="3">
        <v>0</v>
      </c>
      <c r="X349" s="3" t="s">
        <v>147</v>
      </c>
      <c r="Y349" s="3">
        <v>0</v>
      </c>
      <c r="Z349" s="3">
        <v>0</v>
      </c>
      <c r="AA349" s="3">
        <v>0</v>
      </c>
      <c r="AB349" s="3">
        <v>0</v>
      </c>
      <c r="AC349" s="3">
        <v>15</v>
      </c>
      <c r="AD349" s="3">
        <v>9</v>
      </c>
      <c r="AE349" s="3">
        <v>14</v>
      </c>
      <c r="AF349" s="3" t="s">
        <v>0</v>
      </c>
      <c r="AG349" s="3" t="s">
        <v>49</v>
      </c>
    </row>
    <row r="350" spans="1:33" ht="89.25" x14ac:dyDescent="0.2">
      <c r="A350" s="5" t="str">
        <f>HYPERLINK("http://www.patentics.cn/invokexml.do?sf=ShowPatent&amp;spn=US8984105&amp;sv=08432fb944fa59831e5f8a45f664e92b","US8984105")</f>
        <v>US8984105</v>
      </c>
      <c r="B350" s="3" t="s">
        <v>1264</v>
      </c>
      <c r="C350" s="3" t="s">
        <v>1265</v>
      </c>
      <c r="D350" s="3" t="s">
        <v>52</v>
      </c>
      <c r="E350" s="3" t="s">
        <v>52</v>
      </c>
      <c r="F350" s="3" t="s">
        <v>1266</v>
      </c>
      <c r="G350" s="3" t="s">
        <v>1267</v>
      </c>
      <c r="H350" s="3" t="s">
        <v>1268</v>
      </c>
      <c r="I350" s="3" t="s">
        <v>1269</v>
      </c>
      <c r="J350" s="3" t="s">
        <v>1270</v>
      </c>
      <c r="K350" s="3" t="s">
        <v>555</v>
      </c>
      <c r="L350" s="3" t="s">
        <v>1271</v>
      </c>
      <c r="M350" s="3" t="s">
        <v>58</v>
      </c>
      <c r="N350" s="3" t="s">
        <v>1272</v>
      </c>
      <c r="O350" s="3">
        <v>0</v>
      </c>
      <c r="P350" s="3">
        <v>26</v>
      </c>
      <c r="Q350" s="3" t="s">
        <v>60</v>
      </c>
      <c r="R350" s="3" t="s">
        <v>61</v>
      </c>
      <c r="S350" s="3">
        <v>37</v>
      </c>
      <c r="T350" s="3">
        <v>3</v>
      </c>
      <c r="U350" s="3">
        <v>34</v>
      </c>
      <c r="V350" s="3">
        <v>23</v>
      </c>
      <c r="W350" s="3">
        <v>0</v>
      </c>
      <c r="X350" s="3" t="s">
        <v>147</v>
      </c>
      <c r="Y350" s="3">
        <v>0</v>
      </c>
      <c r="Z350" s="3">
        <v>0</v>
      </c>
      <c r="AA350" s="3">
        <v>0</v>
      </c>
      <c r="AB350" s="3">
        <v>0</v>
      </c>
      <c r="AC350" s="3">
        <v>8</v>
      </c>
      <c r="AD350" s="3">
        <v>7</v>
      </c>
      <c r="AE350" s="3">
        <v>14</v>
      </c>
      <c r="AF350" s="3" t="s">
        <v>0</v>
      </c>
      <c r="AG350" s="3" t="s">
        <v>49</v>
      </c>
    </row>
    <row r="351" spans="1:33" ht="165.75" x14ac:dyDescent="0.2">
      <c r="A351" s="5" t="str">
        <f>HYPERLINK("http://www.patentics.cn/invokexml.do?sf=ShowPatent&amp;spn=US9032065&amp;sv=b5e20a71566610ba81f41fc2dd9c1681","US9032065")</f>
        <v>US9032065</v>
      </c>
      <c r="B351" s="3" t="s">
        <v>1547</v>
      </c>
      <c r="C351" s="3" t="s">
        <v>1548</v>
      </c>
      <c r="D351" s="3" t="s">
        <v>52</v>
      </c>
      <c r="E351" s="3" t="s">
        <v>52</v>
      </c>
      <c r="F351" s="3" t="s">
        <v>1549</v>
      </c>
      <c r="G351" s="3" t="s">
        <v>1550</v>
      </c>
      <c r="H351" s="3" t="s">
        <v>1551</v>
      </c>
      <c r="I351" s="3" t="s">
        <v>1552</v>
      </c>
      <c r="J351" s="3" t="s">
        <v>502</v>
      </c>
      <c r="K351" s="3" t="s">
        <v>555</v>
      </c>
      <c r="L351" s="3" t="s">
        <v>1553</v>
      </c>
      <c r="M351" s="3" t="s">
        <v>0</v>
      </c>
      <c r="N351" s="3" t="s">
        <v>0</v>
      </c>
      <c r="O351" s="3">
        <v>0</v>
      </c>
      <c r="P351" s="3">
        <v>15</v>
      </c>
      <c r="Q351" s="3" t="s">
        <v>60</v>
      </c>
      <c r="R351" s="3" t="s">
        <v>61</v>
      </c>
      <c r="S351" s="3">
        <v>36</v>
      </c>
      <c r="T351" s="3">
        <v>5</v>
      </c>
      <c r="U351" s="3">
        <v>31</v>
      </c>
      <c r="V351" s="3">
        <v>23</v>
      </c>
      <c r="W351" s="3">
        <v>0</v>
      </c>
      <c r="X351" s="3" t="s">
        <v>147</v>
      </c>
      <c r="Y351" s="3">
        <v>0</v>
      </c>
      <c r="Z351" s="3">
        <v>0</v>
      </c>
      <c r="AA351" s="3">
        <v>0</v>
      </c>
      <c r="AB351" s="3">
        <v>0</v>
      </c>
      <c r="AC351" s="3">
        <v>20</v>
      </c>
      <c r="AD351" s="3">
        <v>13</v>
      </c>
      <c r="AE351" s="3">
        <v>14</v>
      </c>
      <c r="AF351" s="3" t="s">
        <v>0</v>
      </c>
      <c r="AG351" s="3" t="s">
        <v>49</v>
      </c>
    </row>
    <row r="352" spans="1:33" ht="51" x14ac:dyDescent="0.2">
      <c r="A352" s="5" t="str">
        <f>HYPERLINK("http://www.patentics.cn/invokexml.do?sf=ShowPatent&amp;spn=WO2006037128&amp;sv=8cb77d247c4aba4bbe096bab3102f342","WO2006037128")</f>
        <v>WO2006037128</v>
      </c>
      <c r="B352" s="3" t="s">
        <v>1554</v>
      </c>
      <c r="C352" s="3" t="s">
        <v>1523</v>
      </c>
      <c r="D352" s="3" t="s">
        <v>1555</v>
      </c>
      <c r="E352" s="3" t="s">
        <v>1556</v>
      </c>
      <c r="F352" s="3" t="s">
        <v>1557</v>
      </c>
      <c r="G352" s="3" t="s">
        <v>1558</v>
      </c>
      <c r="H352" s="3" t="s">
        <v>1526</v>
      </c>
      <c r="I352" s="3" t="s">
        <v>1220</v>
      </c>
      <c r="J352" s="3" t="s">
        <v>1559</v>
      </c>
      <c r="K352" s="3" t="s">
        <v>82</v>
      </c>
      <c r="L352" s="3" t="s">
        <v>1560</v>
      </c>
      <c r="M352" s="3" t="s">
        <v>0</v>
      </c>
      <c r="N352" s="3" t="s">
        <v>0</v>
      </c>
      <c r="O352" s="3">
        <v>54</v>
      </c>
      <c r="P352" s="3">
        <v>8</v>
      </c>
      <c r="Q352" s="3" t="s">
        <v>352</v>
      </c>
      <c r="R352" s="3" t="s">
        <v>61</v>
      </c>
      <c r="S352" s="3">
        <v>2</v>
      </c>
      <c r="T352" s="3">
        <v>0</v>
      </c>
      <c r="U352" s="3">
        <v>2</v>
      </c>
      <c r="V352" s="3">
        <v>2</v>
      </c>
      <c r="W352" s="3">
        <v>1</v>
      </c>
      <c r="X352" s="3" t="s">
        <v>403</v>
      </c>
      <c r="Y352" s="3">
        <v>0</v>
      </c>
      <c r="Z352" s="3">
        <v>1</v>
      </c>
      <c r="AA352" s="3">
        <v>1</v>
      </c>
      <c r="AB352" s="3">
        <v>1</v>
      </c>
      <c r="AC352" s="3">
        <v>22</v>
      </c>
      <c r="AD352" s="3">
        <v>13</v>
      </c>
      <c r="AE352" s="3">
        <v>14</v>
      </c>
      <c r="AF352" s="3" t="s">
        <v>0</v>
      </c>
      <c r="AG352" s="3" t="s">
        <v>0</v>
      </c>
    </row>
    <row r="353" spans="1:33" ht="63.75" x14ac:dyDescent="0.2">
      <c r="A353" s="5" t="str">
        <f>HYPERLINK("http://www.patentics.cn/invokexml.do?sf=ShowPatent&amp;spn=WO2009155005&amp;sv=3cdba365264b7196eeea3d7f0942abcf","WO2009155005")</f>
        <v>WO2009155005</v>
      </c>
      <c r="B353" s="3" t="s">
        <v>1561</v>
      </c>
      <c r="C353" s="3" t="s">
        <v>1562</v>
      </c>
      <c r="D353" s="3" t="s">
        <v>1563</v>
      </c>
      <c r="E353" s="3" t="s">
        <v>1564</v>
      </c>
      <c r="F353" s="3" t="s">
        <v>1565</v>
      </c>
      <c r="G353" s="3" t="s">
        <v>1566</v>
      </c>
      <c r="H353" s="3" t="s">
        <v>1268</v>
      </c>
      <c r="I353" s="3" t="s">
        <v>1567</v>
      </c>
      <c r="J353" s="3" t="s">
        <v>1568</v>
      </c>
      <c r="K353" s="3" t="s">
        <v>58</v>
      </c>
      <c r="L353" s="3" t="s">
        <v>722</v>
      </c>
      <c r="M353" s="3" t="s">
        <v>0</v>
      </c>
      <c r="N353" s="3" t="s">
        <v>0</v>
      </c>
      <c r="O353" s="3">
        <v>37</v>
      </c>
      <c r="P353" s="3">
        <v>15</v>
      </c>
      <c r="Q353" s="3" t="s">
        <v>352</v>
      </c>
      <c r="R353" s="3" t="s">
        <v>61</v>
      </c>
      <c r="S353" s="3">
        <v>3</v>
      </c>
      <c r="T353" s="3">
        <v>0</v>
      </c>
      <c r="U353" s="3">
        <v>3</v>
      </c>
      <c r="V353" s="3">
        <v>3</v>
      </c>
      <c r="W353" s="3">
        <v>1</v>
      </c>
      <c r="X353" s="3" t="s">
        <v>933</v>
      </c>
      <c r="Y353" s="3">
        <v>0</v>
      </c>
      <c r="Z353" s="3">
        <v>1</v>
      </c>
      <c r="AA353" s="3">
        <v>1</v>
      </c>
      <c r="AB353" s="3">
        <v>1</v>
      </c>
      <c r="AC353" s="3">
        <v>8</v>
      </c>
      <c r="AD353" s="3">
        <v>7</v>
      </c>
      <c r="AE353" s="3">
        <v>14</v>
      </c>
      <c r="AF353" s="3" t="s">
        <v>0</v>
      </c>
      <c r="AG353" s="3" t="s">
        <v>0</v>
      </c>
    </row>
    <row r="354" spans="1:33" ht="102" x14ac:dyDescent="0.2">
      <c r="A354" s="5" t="str">
        <f>HYPERLINK("http://www.patentics.cn/invokexml.do?sf=ShowPatent&amp;spn=WO2010062917&amp;sv=5b3125164ff5358df58d7e219f1f29bf","WO2010062917")</f>
        <v>WO2010062917</v>
      </c>
      <c r="B354" s="3" t="s">
        <v>1569</v>
      </c>
      <c r="C354" s="3" t="s">
        <v>1570</v>
      </c>
      <c r="D354" s="3" t="s">
        <v>1571</v>
      </c>
      <c r="E354" s="3" t="s">
        <v>1572</v>
      </c>
      <c r="F354" s="3" t="s">
        <v>1573</v>
      </c>
      <c r="G354" s="3" t="s">
        <v>1574</v>
      </c>
      <c r="H354" s="3" t="s">
        <v>1254</v>
      </c>
      <c r="I354" s="3" t="s">
        <v>542</v>
      </c>
      <c r="J354" s="3" t="s">
        <v>1575</v>
      </c>
      <c r="K354" s="3" t="s">
        <v>82</v>
      </c>
      <c r="L354" s="3" t="s">
        <v>1294</v>
      </c>
      <c r="M354" s="3" t="s">
        <v>0</v>
      </c>
      <c r="N354" s="3" t="s">
        <v>0</v>
      </c>
      <c r="O354" s="3">
        <v>116</v>
      </c>
      <c r="P354" s="3">
        <v>15</v>
      </c>
      <c r="Q354" s="3" t="s">
        <v>352</v>
      </c>
      <c r="R354" s="3" t="s">
        <v>61</v>
      </c>
      <c r="S354" s="3">
        <v>3</v>
      </c>
      <c r="T354" s="3">
        <v>0</v>
      </c>
      <c r="U354" s="3">
        <v>3</v>
      </c>
      <c r="V354" s="3">
        <v>3</v>
      </c>
      <c r="W354" s="3">
        <v>0</v>
      </c>
      <c r="X354" s="3" t="s">
        <v>147</v>
      </c>
      <c r="Y354" s="3">
        <v>0</v>
      </c>
      <c r="Z354" s="3">
        <v>0</v>
      </c>
      <c r="AA354" s="3">
        <v>0</v>
      </c>
      <c r="AB354" s="3">
        <v>0</v>
      </c>
      <c r="AC354" s="3">
        <v>3</v>
      </c>
      <c r="AD354" s="3">
        <v>3</v>
      </c>
      <c r="AE354" s="3">
        <v>14</v>
      </c>
      <c r="AF354" s="3" t="s">
        <v>0</v>
      </c>
      <c r="AG354" s="3" t="s">
        <v>0</v>
      </c>
    </row>
    <row r="355" spans="1:33" ht="38.25" x14ac:dyDescent="0.2">
      <c r="A355" s="4" t="str">
        <f>HYPERLINK("http://www.patentics.cn/invokexml.do?sf=ShowPatent&amp;spn=WO2009076803&amp;sv=eb8e153236bbba32fa859f5e26c07473","WO2009076803")</f>
        <v>WO2009076803</v>
      </c>
      <c r="B355" s="2" t="s">
        <v>1576</v>
      </c>
      <c r="C355" s="2" t="s">
        <v>1577</v>
      </c>
      <c r="D355" s="2" t="s">
        <v>1394</v>
      </c>
      <c r="E355" s="2" t="s">
        <v>1394</v>
      </c>
      <c r="F355" s="2" t="s">
        <v>1578</v>
      </c>
      <c r="G355" s="2" t="s">
        <v>1578</v>
      </c>
      <c r="H355" s="2" t="s">
        <v>1336</v>
      </c>
      <c r="I355" s="2" t="s">
        <v>1579</v>
      </c>
      <c r="J355" s="2" t="s">
        <v>1580</v>
      </c>
      <c r="K355" s="2" t="s">
        <v>43</v>
      </c>
      <c r="L355" s="2" t="s">
        <v>377</v>
      </c>
      <c r="M355" s="2" t="s">
        <v>0</v>
      </c>
      <c r="N355" s="2" t="s">
        <v>0</v>
      </c>
      <c r="O355" s="2">
        <v>0</v>
      </c>
      <c r="P355" s="2">
        <v>0</v>
      </c>
      <c r="Q355" s="2" t="s">
        <v>352</v>
      </c>
      <c r="R355" s="2" t="s">
        <v>47</v>
      </c>
      <c r="S355" s="2">
        <v>3</v>
      </c>
      <c r="T355" s="2">
        <v>1</v>
      </c>
      <c r="U355" s="2">
        <v>2</v>
      </c>
      <c r="V355" s="2">
        <v>2</v>
      </c>
      <c r="W355" s="2">
        <v>16</v>
      </c>
      <c r="X355" s="2" t="s">
        <v>1581</v>
      </c>
      <c r="Y355" s="2">
        <v>0</v>
      </c>
      <c r="Z355" s="2">
        <v>16</v>
      </c>
      <c r="AA355" s="2">
        <v>2</v>
      </c>
      <c r="AB355" s="2">
        <v>3</v>
      </c>
      <c r="AC355" s="2">
        <v>15</v>
      </c>
      <c r="AD355" s="2">
        <v>10</v>
      </c>
      <c r="AE355" s="2" t="s">
        <v>0</v>
      </c>
      <c r="AF355" s="2">
        <v>9</v>
      </c>
      <c r="AG355" s="2" t="s">
        <v>0</v>
      </c>
    </row>
    <row r="356" spans="1:33" ht="76.5" x14ac:dyDescent="0.2">
      <c r="A356" s="5" t="str">
        <f>HYPERLINK("http://www.patentics.cn/invokexml.do?sf=ShowPatent&amp;spn=US9106378&amp;sv=109dca1a95e0286c0676843dc271f0e5","US9106378")</f>
        <v>US9106378</v>
      </c>
      <c r="B356" s="3" t="s">
        <v>921</v>
      </c>
      <c r="C356" s="3" t="s">
        <v>922</v>
      </c>
      <c r="D356" s="3" t="s">
        <v>52</v>
      </c>
      <c r="E356" s="3" t="s">
        <v>52</v>
      </c>
      <c r="F356" s="3" t="s">
        <v>923</v>
      </c>
      <c r="G356" s="3" t="s">
        <v>924</v>
      </c>
      <c r="H356" s="3" t="s">
        <v>925</v>
      </c>
      <c r="I356" s="3" t="s">
        <v>926</v>
      </c>
      <c r="J356" s="3" t="s">
        <v>927</v>
      </c>
      <c r="K356" s="3" t="s">
        <v>82</v>
      </c>
      <c r="L356" s="3" t="s">
        <v>226</v>
      </c>
      <c r="M356" s="3" t="s">
        <v>0</v>
      </c>
      <c r="N356" s="3" t="s">
        <v>0</v>
      </c>
      <c r="O356" s="3">
        <v>0</v>
      </c>
      <c r="P356" s="3">
        <v>17</v>
      </c>
      <c r="Q356" s="3" t="s">
        <v>60</v>
      </c>
      <c r="R356" s="3" t="s">
        <v>61</v>
      </c>
      <c r="S356" s="3">
        <v>262</v>
      </c>
      <c r="T356" s="3">
        <v>53</v>
      </c>
      <c r="U356" s="3">
        <v>209</v>
      </c>
      <c r="V356" s="3">
        <v>65</v>
      </c>
      <c r="W356" s="3">
        <v>0</v>
      </c>
      <c r="X356" s="3" t="s">
        <v>147</v>
      </c>
      <c r="Y356" s="3">
        <v>0</v>
      </c>
      <c r="Z356" s="3">
        <v>0</v>
      </c>
      <c r="AA356" s="3">
        <v>0</v>
      </c>
      <c r="AB356" s="3">
        <v>0</v>
      </c>
      <c r="AC356" s="3">
        <v>13</v>
      </c>
      <c r="AD356" s="3">
        <v>7</v>
      </c>
      <c r="AE356" s="3">
        <v>14</v>
      </c>
      <c r="AF356" s="3" t="s">
        <v>0</v>
      </c>
      <c r="AG356" s="3" t="s">
        <v>49</v>
      </c>
    </row>
    <row r="357" spans="1:33" ht="140.25" x14ac:dyDescent="0.2">
      <c r="A357" s="5" t="str">
        <f>HYPERLINK("http://www.patentics.cn/invokexml.do?sf=ShowPatent&amp;spn=US9125072&amp;sv=0a35516ca99592a4263a31d9700485cf","US9125072")</f>
        <v>US9125072</v>
      </c>
      <c r="B357" s="3" t="s">
        <v>928</v>
      </c>
      <c r="C357" s="3" t="s">
        <v>929</v>
      </c>
      <c r="D357" s="3" t="s">
        <v>52</v>
      </c>
      <c r="E357" s="3" t="s">
        <v>52</v>
      </c>
      <c r="F357" s="3" t="s">
        <v>930</v>
      </c>
      <c r="G357" s="3" t="s">
        <v>78</v>
      </c>
      <c r="H357" s="3" t="s">
        <v>931</v>
      </c>
      <c r="I357" s="3" t="s">
        <v>932</v>
      </c>
      <c r="J357" s="3" t="s">
        <v>816</v>
      </c>
      <c r="K357" s="3" t="s">
        <v>82</v>
      </c>
      <c r="L357" s="3" t="s">
        <v>226</v>
      </c>
      <c r="M357" s="3" t="s">
        <v>0</v>
      </c>
      <c r="N357" s="3" t="s">
        <v>0</v>
      </c>
      <c r="O357" s="3">
        <v>0</v>
      </c>
      <c r="P357" s="3">
        <v>11</v>
      </c>
      <c r="Q357" s="3" t="s">
        <v>60</v>
      </c>
      <c r="R357" s="3" t="s">
        <v>61</v>
      </c>
      <c r="S357" s="3">
        <v>274</v>
      </c>
      <c r="T357" s="3">
        <v>55</v>
      </c>
      <c r="U357" s="3">
        <v>219</v>
      </c>
      <c r="V357" s="3">
        <v>64</v>
      </c>
      <c r="W357" s="3">
        <v>8</v>
      </c>
      <c r="X357" s="3" t="s">
        <v>933</v>
      </c>
      <c r="Y357" s="3">
        <v>1</v>
      </c>
      <c r="Z357" s="3">
        <v>7</v>
      </c>
      <c r="AA357" s="3">
        <v>2</v>
      </c>
      <c r="AB357" s="3">
        <v>2</v>
      </c>
      <c r="AC357" s="3">
        <v>22</v>
      </c>
      <c r="AD357" s="3">
        <v>11</v>
      </c>
      <c r="AE357" s="3">
        <v>14</v>
      </c>
      <c r="AF357" s="3" t="s">
        <v>0</v>
      </c>
      <c r="AG357" s="3" t="s">
        <v>49</v>
      </c>
    </row>
    <row r="358" spans="1:33" ht="102" x14ac:dyDescent="0.2">
      <c r="A358" s="5" t="str">
        <f>HYPERLINK("http://www.patentics.cn/invokexml.do?sf=ShowPatent&amp;spn=US9144037&amp;sv=1b44d15f404b6823ede5c41f2168ed63","US9144037")</f>
        <v>US9144037</v>
      </c>
      <c r="B358" s="3" t="s">
        <v>934</v>
      </c>
      <c r="C358" s="3" t="s">
        <v>935</v>
      </c>
      <c r="D358" s="3" t="s">
        <v>52</v>
      </c>
      <c r="E358" s="3" t="s">
        <v>52</v>
      </c>
      <c r="F358" s="3" t="s">
        <v>936</v>
      </c>
      <c r="G358" s="3" t="s">
        <v>937</v>
      </c>
      <c r="H358" s="3" t="s">
        <v>938</v>
      </c>
      <c r="I358" s="3" t="s">
        <v>939</v>
      </c>
      <c r="J358" s="3" t="s">
        <v>240</v>
      </c>
      <c r="K358" s="3" t="s">
        <v>84</v>
      </c>
      <c r="L358" s="3" t="s">
        <v>163</v>
      </c>
      <c r="M358" s="3" t="s">
        <v>82</v>
      </c>
      <c r="N358" s="3" t="s">
        <v>940</v>
      </c>
      <c r="O358" s="3">
        <v>0</v>
      </c>
      <c r="P358" s="3">
        <v>15</v>
      </c>
      <c r="Q358" s="3" t="s">
        <v>60</v>
      </c>
      <c r="R358" s="3" t="s">
        <v>61</v>
      </c>
      <c r="S358" s="3">
        <v>276</v>
      </c>
      <c r="T358" s="3">
        <v>53</v>
      </c>
      <c r="U358" s="3">
        <v>223</v>
      </c>
      <c r="V358" s="3">
        <v>65</v>
      </c>
      <c r="W358" s="3">
        <v>0</v>
      </c>
      <c r="X358" s="3" t="s">
        <v>147</v>
      </c>
      <c r="Y358" s="3">
        <v>0</v>
      </c>
      <c r="Z358" s="3">
        <v>0</v>
      </c>
      <c r="AA358" s="3">
        <v>0</v>
      </c>
      <c r="AB358" s="3">
        <v>0</v>
      </c>
      <c r="AC358" s="3">
        <v>15</v>
      </c>
      <c r="AD358" s="3">
        <v>7</v>
      </c>
      <c r="AE358" s="3">
        <v>14</v>
      </c>
      <c r="AF358" s="3" t="s">
        <v>0</v>
      </c>
      <c r="AG358" s="3" t="s">
        <v>49</v>
      </c>
    </row>
    <row r="359" spans="1:33" ht="229.5" x14ac:dyDescent="0.2">
      <c r="A359" s="5" t="str">
        <f>HYPERLINK("http://www.patentics.cn/invokexml.do?sf=ShowPatent&amp;spn=US9226288&amp;sv=50d74d97714cc499dcdeeea75ddcc1b9","US9226288")</f>
        <v>US9226288</v>
      </c>
      <c r="B359" s="3" t="s">
        <v>941</v>
      </c>
      <c r="C359" s="3" t="s">
        <v>942</v>
      </c>
      <c r="D359" s="3" t="s">
        <v>52</v>
      </c>
      <c r="E359" s="3" t="s">
        <v>52</v>
      </c>
      <c r="F359" s="3" t="s">
        <v>943</v>
      </c>
      <c r="G359" s="3" t="s">
        <v>944</v>
      </c>
      <c r="H359" s="3" t="s">
        <v>931</v>
      </c>
      <c r="I359" s="3" t="s">
        <v>932</v>
      </c>
      <c r="J359" s="3" t="s">
        <v>294</v>
      </c>
      <c r="K359" s="3" t="s">
        <v>82</v>
      </c>
      <c r="L359" s="3" t="s">
        <v>83</v>
      </c>
      <c r="M359" s="3" t="s">
        <v>82</v>
      </c>
      <c r="N359" s="3" t="s">
        <v>945</v>
      </c>
      <c r="O359" s="3">
        <v>0</v>
      </c>
      <c r="P359" s="3">
        <v>15</v>
      </c>
      <c r="Q359" s="3" t="s">
        <v>60</v>
      </c>
      <c r="R359" s="3" t="s">
        <v>61</v>
      </c>
      <c r="S359" s="3">
        <v>278</v>
      </c>
      <c r="T359" s="3">
        <v>55</v>
      </c>
      <c r="U359" s="3">
        <v>223</v>
      </c>
      <c r="V359" s="3">
        <v>65</v>
      </c>
      <c r="W359" s="3">
        <v>0</v>
      </c>
      <c r="X359" s="3" t="s">
        <v>147</v>
      </c>
      <c r="Y359" s="3">
        <v>0</v>
      </c>
      <c r="Z359" s="3">
        <v>0</v>
      </c>
      <c r="AA359" s="3">
        <v>0</v>
      </c>
      <c r="AB359" s="3">
        <v>0</v>
      </c>
      <c r="AC359" s="3">
        <v>8</v>
      </c>
      <c r="AD359" s="3">
        <v>6</v>
      </c>
      <c r="AE359" s="3">
        <v>14</v>
      </c>
      <c r="AF359" s="3" t="s">
        <v>0</v>
      </c>
      <c r="AG359" s="3" t="s">
        <v>49</v>
      </c>
    </row>
    <row r="360" spans="1:33" ht="76.5" x14ac:dyDescent="0.2">
      <c r="A360" s="5" t="str">
        <f>HYPERLINK("http://www.patentics.cn/invokexml.do?sf=ShowPatent&amp;spn=US9271167&amp;sv=e401f5289229974ed8a94cd08f8a9054","US9271167")</f>
        <v>US9271167</v>
      </c>
      <c r="B360" s="3" t="s">
        <v>953</v>
      </c>
      <c r="C360" s="3" t="s">
        <v>954</v>
      </c>
      <c r="D360" s="3" t="s">
        <v>52</v>
      </c>
      <c r="E360" s="3" t="s">
        <v>52</v>
      </c>
      <c r="F360" s="3" t="s">
        <v>955</v>
      </c>
      <c r="G360" s="3" t="s">
        <v>956</v>
      </c>
      <c r="H360" s="3" t="s">
        <v>931</v>
      </c>
      <c r="I360" s="3" t="s">
        <v>957</v>
      </c>
      <c r="J360" s="3" t="s">
        <v>669</v>
      </c>
      <c r="K360" s="3" t="s">
        <v>82</v>
      </c>
      <c r="L360" s="3" t="s">
        <v>806</v>
      </c>
      <c r="M360" s="3" t="s">
        <v>82</v>
      </c>
      <c r="N360" s="3" t="s">
        <v>958</v>
      </c>
      <c r="O360" s="3">
        <v>0</v>
      </c>
      <c r="P360" s="3">
        <v>16</v>
      </c>
      <c r="Q360" s="3" t="s">
        <v>60</v>
      </c>
      <c r="R360" s="3" t="s">
        <v>61</v>
      </c>
      <c r="S360" s="3">
        <v>279</v>
      </c>
      <c r="T360" s="3">
        <v>55</v>
      </c>
      <c r="U360" s="3">
        <v>224</v>
      </c>
      <c r="V360" s="3">
        <v>65</v>
      </c>
      <c r="W360" s="3">
        <v>21</v>
      </c>
      <c r="X360" s="3" t="s">
        <v>108</v>
      </c>
      <c r="Y360" s="3">
        <v>0</v>
      </c>
      <c r="Z360" s="3">
        <v>21</v>
      </c>
      <c r="AA360" s="3">
        <v>1</v>
      </c>
      <c r="AB360" s="3">
        <v>2</v>
      </c>
      <c r="AC360" s="3">
        <v>20</v>
      </c>
      <c r="AD360" s="3">
        <v>13</v>
      </c>
      <c r="AE360" s="3">
        <v>14</v>
      </c>
      <c r="AF360" s="3" t="s">
        <v>0</v>
      </c>
      <c r="AG360" s="3" t="s">
        <v>49</v>
      </c>
    </row>
    <row r="361" spans="1:33" ht="76.5" x14ac:dyDescent="0.2">
      <c r="A361" s="5" t="str">
        <f>HYPERLINK("http://www.patentics.cn/invokexml.do?sf=ShowPatent&amp;spn=US9277566&amp;sv=1e06c5731d657aed16e04b24a7f25f6b","US9277566")</f>
        <v>US9277566</v>
      </c>
      <c r="B361" s="3" t="s">
        <v>959</v>
      </c>
      <c r="C361" s="3" t="s">
        <v>960</v>
      </c>
      <c r="D361" s="3" t="s">
        <v>52</v>
      </c>
      <c r="E361" s="3" t="s">
        <v>52</v>
      </c>
      <c r="F361" s="3" t="s">
        <v>961</v>
      </c>
      <c r="G361" s="3" t="s">
        <v>962</v>
      </c>
      <c r="H361" s="3" t="s">
        <v>963</v>
      </c>
      <c r="I361" s="3" t="s">
        <v>964</v>
      </c>
      <c r="J361" s="3" t="s">
        <v>965</v>
      </c>
      <c r="K361" s="3" t="s">
        <v>82</v>
      </c>
      <c r="L361" s="3" t="s">
        <v>83</v>
      </c>
      <c r="M361" s="3" t="s">
        <v>82</v>
      </c>
      <c r="N361" s="3" t="s">
        <v>966</v>
      </c>
      <c r="O361" s="3">
        <v>0</v>
      </c>
      <c r="P361" s="3">
        <v>10</v>
      </c>
      <c r="Q361" s="3" t="s">
        <v>60</v>
      </c>
      <c r="R361" s="3" t="s">
        <v>61</v>
      </c>
      <c r="S361" s="3">
        <v>279</v>
      </c>
      <c r="T361" s="3">
        <v>56</v>
      </c>
      <c r="U361" s="3">
        <v>223</v>
      </c>
      <c r="V361" s="3">
        <v>65</v>
      </c>
      <c r="W361" s="3">
        <v>0</v>
      </c>
      <c r="X361" s="3" t="s">
        <v>147</v>
      </c>
      <c r="Y361" s="3">
        <v>0</v>
      </c>
      <c r="Z361" s="3">
        <v>0</v>
      </c>
      <c r="AA361" s="3">
        <v>0</v>
      </c>
      <c r="AB361" s="3">
        <v>0</v>
      </c>
      <c r="AC361" s="3">
        <v>11</v>
      </c>
      <c r="AD361" s="3">
        <v>7</v>
      </c>
      <c r="AE361" s="3">
        <v>14</v>
      </c>
      <c r="AF361" s="3" t="s">
        <v>0</v>
      </c>
      <c r="AG361" s="3" t="s">
        <v>49</v>
      </c>
    </row>
    <row r="362" spans="1:33" ht="89.25" x14ac:dyDescent="0.2">
      <c r="A362" s="5" t="str">
        <f>HYPERLINK("http://www.patentics.cn/invokexml.do?sf=ShowPatent&amp;spn=US9281932&amp;sv=588db6af75c155f9b117f0850b28fd3c","US9281932")</f>
        <v>US9281932</v>
      </c>
      <c r="B362" s="3" t="s">
        <v>967</v>
      </c>
      <c r="C362" s="3" t="s">
        <v>914</v>
      </c>
      <c r="D362" s="3" t="s">
        <v>52</v>
      </c>
      <c r="E362" s="3" t="s">
        <v>52</v>
      </c>
      <c r="F362" s="3" t="s">
        <v>915</v>
      </c>
      <c r="G362" s="3" t="s">
        <v>454</v>
      </c>
      <c r="H362" s="3" t="s">
        <v>916</v>
      </c>
      <c r="I362" s="3" t="s">
        <v>968</v>
      </c>
      <c r="J362" s="3" t="s">
        <v>683</v>
      </c>
      <c r="K362" s="3" t="s">
        <v>82</v>
      </c>
      <c r="L362" s="3" t="s">
        <v>244</v>
      </c>
      <c r="M362" s="3" t="s">
        <v>58</v>
      </c>
      <c r="N362" s="3" t="s">
        <v>969</v>
      </c>
      <c r="O362" s="3">
        <v>0</v>
      </c>
      <c r="P362" s="3">
        <v>16</v>
      </c>
      <c r="Q362" s="3" t="s">
        <v>60</v>
      </c>
      <c r="R362" s="3" t="s">
        <v>61</v>
      </c>
      <c r="S362" s="3">
        <v>276</v>
      </c>
      <c r="T362" s="3">
        <v>54</v>
      </c>
      <c r="U362" s="3">
        <v>222</v>
      </c>
      <c r="V362" s="3">
        <v>64</v>
      </c>
      <c r="W362" s="3">
        <v>14</v>
      </c>
      <c r="X362" s="3" t="s">
        <v>147</v>
      </c>
      <c r="Y362" s="3">
        <v>0</v>
      </c>
      <c r="Z362" s="3">
        <v>14</v>
      </c>
      <c r="AA362" s="3">
        <v>0</v>
      </c>
      <c r="AB362" s="3">
        <v>1</v>
      </c>
      <c r="AC362" s="3">
        <v>26</v>
      </c>
      <c r="AD362" s="3">
        <v>12</v>
      </c>
      <c r="AE362" s="3">
        <v>14</v>
      </c>
      <c r="AF362" s="3" t="s">
        <v>0</v>
      </c>
      <c r="AG362" s="3" t="s">
        <v>49</v>
      </c>
    </row>
    <row r="363" spans="1:33" ht="140.25" x14ac:dyDescent="0.2">
      <c r="A363" s="5" t="str">
        <f>HYPERLINK("http://www.patentics.cn/invokexml.do?sf=ShowPatent&amp;spn=US9282472&amp;sv=12573b5a134f751a53fd2109d243d1ed","US9282472")</f>
        <v>US9282472</v>
      </c>
      <c r="B363" s="3" t="s">
        <v>970</v>
      </c>
      <c r="C363" s="3" t="s">
        <v>971</v>
      </c>
      <c r="D363" s="3" t="s">
        <v>52</v>
      </c>
      <c r="E363" s="3" t="s">
        <v>52</v>
      </c>
      <c r="F363" s="3" t="s">
        <v>930</v>
      </c>
      <c r="G363" s="3" t="s">
        <v>78</v>
      </c>
      <c r="H363" s="3" t="s">
        <v>931</v>
      </c>
      <c r="I363" s="3" t="s">
        <v>972</v>
      </c>
      <c r="J363" s="3" t="s">
        <v>683</v>
      </c>
      <c r="K363" s="3" t="s">
        <v>82</v>
      </c>
      <c r="L363" s="3" t="s">
        <v>226</v>
      </c>
      <c r="M363" s="3" t="s">
        <v>82</v>
      </c>
      <c r="N363" s="3" t="s">
        <v>958</v>
      </c>
      <c r="O363" s="3">
        <v>0</v>
      </c>
      <c r="P363" s="3">
        <v>10</v>
      </c>
      <c r="Q363" s="3" t="s">
        <v>60</v>
      </c>
      <c r="R363" s="3" t="s">
        <v>61</v>
      </c>
      <c r="S363" s="3">
        <v>286</v>
      </c>
      <c r="T363" s="3">
        <v>62</v>
      </c>
      <c r="U363" s="3">
        <v>224</v>
      </c>
      <c r="V363" s="3">
        <v>65</v>
      </c>
      <c r="W363" s="3">
        <v>6</v>
      </c>
      <c r="X363" s="3" t="s">
        <v>147</v>
      </c>
      <c r="Y363" s="3">
        <v>0</v>
      </c>
      <c r="Z363" s="3">
        <v>6</v>
      </c>
      <c r="AA363" s="3">
        <v>0</v>
      </c>
      <c r="AB363" s="3">
        <v>1</v>
      </c>
      <c r="AC363" s="3">
        <v>22</v>
      </c>
      <c r="AD363" s="3">
        <v>11</v>
      </c>
      <c r="AE363" s="3">
        <v>14</v>
      </c>
      <c r="AF363" s="3" t="s">
        <v>0</v>
      </c>
      <c r="AG363" s="3" t="s">
        <v>49</v>
      </c>
    </row>
    <row r="364" spans="1:33" ht="255" x14ac:dyDescent="0.2">
      <c r="A364" s="5" t="str">
        <f>HYPERLINK("http://www.patentics.cn/invokexml.do?sf=ShowPatent&amp;spn=US9392608&amp;sv=08c237f9c4d3167556ddb89b7357ba3e","US9392608")</f>
        <v>US9392608</v>
      </c>
      <c r="B364" s="3" t="s">
        <v>973</v>
      </c>
      <c r="C364" s="3" t="s">
        <v>974</v>
      </c>
      <c r="D364" s="3" t="s">
        <v>52</v>
      </c>
      <c r="E364" s="3" t="s">
        <v>52</v>
      </c>
      <c r="F364" s="3" t="s">
        <v>975</v>
      </c>
      <c r="G364" s="3" t="s">
        <v>956</v>
      </c>
      <c r="H364" s="3" t="s">
        <v>931</v>
      </c>
      <c r="I364" s="3" t="s">
        <v>932</v>
      </c>
      <c r="J364" s="3" t="s">
        <v>976</v>
      </c>
      <c r="K364" s="3" t="s">
        <v>82</v>
      </c>
      <c r="L364" s="3" t="s">
        <v>226</v>
      </c>
      <c r="M364" s="3" t="s">
        <v>82</v>
      </c>
      <c r="N364" s="3" t="s">
        <v>977</v>
      </c>
      <c r="O364" s="3">
        <v>0</v>
      </c>
      <c r="P364" s="3">
        <v>15</v>
      </c>
      <c r="Q364" s="3" t="s">
        <v>60</v>
      </c>
      <c r="R364" s="3" t="s">
        <v>61</v>
      </c>
      <c r="S364" s="3">
        <v>285</v>
      </c>
      <c r="T364" s="3">
        <v>55</v>
      </c>
      <c r="U364" s="3">
        <v>230</v>
      </c>
      <c r="V364" s="3">
        <v>66</v>
      </c>
      <c r="W364" s="3">
        <v>0</v>
      </c>
      <c r="X364" s="3" t="s">
        <v>147</v>
      </c>
      <c r="Y364" s="3">
        <v>0</v>
      </c>
      <c r="Z364" s="3">
        <v>0</v>
      </c>
      <c r="AA364" s="3">
        <v>0</v>
      </c>
      <c r="AB364" s="3">
        <v>0</v>
      </c>
      <c r="AC364" s="3">
        <v>16</v>
      </c>
      <c r="AD364" s="3">
        <v>10</v>
      </c>
      <c r="AE364" s="3">
        <v>14</v>
      </c>
      <c r="AF364" s="3" t="s">
        <v>0</v>
      </c>
      <c r="AG364" s="3" t="s">
        <v>49</v>
      </c>
    </row>
    <row r="365" spans="1:33" ht="51" x14ac:dyDescent="0.2">
      <c r="A365" s="4" t="str">
        <f>HYPERLINK("http://www.patentics.cn/invokexml.do?sf=ShowPatent&amp;spn=CN101378534&amp;sv=dd36cb5e65a42b2ccf1c7360b48f7fed","CN101378534")</f>
        <v>CN101378534</v>
      </c>
      <c r="B365" s="2" t="s">
        <v>1582</v>
      </c>
      <c r="C365" s="2" t="s">
        <v>1583</v>
      </c>
      <c r="D365" s="2" t="s">
        <v>38</v>
      </c>
      <c r="E365" s="2" t="s">
        <v>38</v>
      </c>
      <c r="F365" s="2" t="s">
        <v>1584</v>
      </c>
      <c r="G365" s="2" t="s">
        <v>1585</v>
      </c>
      <c r="H365" s="2" t="s">
        <v>1586</v>
      </c>
      <c r="I365" s="2" t="s">
        <v>1586</v>
      </c>
      <c r="J365" s="2" t="s">
        <v>1587</v>
      </c>
      <c r="K365" s="2" t="s">
        <v>43</v>
      </c>
      <c r="L365" s="2" t="s">
        <v>1588</v>
      </c>
      <c r="M365" s="2" t="s">
        <v>0</v>
      </c>
      <c r="N365" s="2" t="s">
        <v>0</v>
      </c>
      <c r="O365" s="2">
        <v>8</v>
      </c>
      <c r="P365" s="2">
        <v>24</v>
      </c>
      <c r="Q365" s="2" t="s">
        <v>46</v>
      </c>
      <c r="R365" s="2" t="s">
        <v>47</v>
      </c>
      <c r="S365" s="2">
        <v>0</v>
      </c>
      <c r="T365" s="2">
        <v>0</v>
      </c>
      <c r="U365" s="2">
        <v>0</v>
      </c>
      <c r="V365" s="2">
        <v>0</v>
      </c>
      <c r="W365" s="2">
        <v>11</v>
      </c>
      <c r="X365" s="2" t="s">
        <v>1589</v>
      </c>
      <c r="Y365" s="2">
        <v>0</v>
      </c>
      <c r="Z365" s="2">
        <v>11</v>
      </c>
      <c r="AA365" s="2">
        <v>3</v>
      </c>
      <c r="AB365" s="2">
        <v>2</v>
      </c>
      <c r="AC365" s="2">
        <v>1</v>
      </c>
      <c r="AD365" s="2">
        <v>1</v>
      </c>
      <c r="AE365" s="2" t="s">
        <v>0</v>
      </c>
      <c r="AF365" s="2">
        <v>9</v>
      </c>
      <c r="AG365" s="2" t="s">
        <v>49</v>
      </c>
    </row>
    <row r="366" spans="1:33" ht="63.75" x14ac:dyDescent="0.2">
      <c r="A366" s="5" t="str">
        <f>HYPERLINK("http://www.patentics.cn/invokexml.do?sf=ShowPatent&amp;spn=US9065584&amp;sv=de5a3c6232b99a7b0cfb4f2433571907","US9065584")</f>
        <v>US9065584</v>
      </c>
      <c r="B366" s="3" t="s">
        <v>1590</v>
      </c>
      <c r="C366" s="3" t="s">
        <v>1591</v>
      </c>
      <c r="D366" s="3" t="s">
        <v>52</v>
      </c>
      <c r="E366" s="3" t="s">
        <v>52</v>
      </c>
      <c r="F366" s="3" t="s">
        <v>1592</v>
      </c>
      <c r="G366" s="3" t="s">
        <v>1593</v>
      </c>
      <c r="H366" s="3" t="s">
        <v>1594</v>
      </c>
      <c r="I366" s="3" t="s">
        <v>1595</v>
      </c>
      <c r="J366" s="3" t="s">
        <v>1596</v>
      </c>
      <c r="K366" s="3" t="s">
        <v>84</v>
      </c>
      <c r="L366" s="3" t="s">
        <v>771</v>
      </c>
      <c r="M366" s="3" t="s">
        <v>0</v>
      </c>
      <c r="N366" s="3" t="s">
        <v>0</v>
      </c>
      <c r="O366" s="3">
        <v>0</v>
      </c>
      <c r="P366" s="3">
        <v>8</v>
      </c>
      <c r="Q366" s="3" t="s">
        <v>60</v>
      </c>
      <c r="R366" s="3" t="s">
        <v>61</v>
      </c>
      <c r="S366" s="3">
        <v>276</v>
      </c>
      <c r="T366" s="3">
        <v>59</v>
      </c>
      <c r="U366" s="3">
        <v>217</v>
      </c>
      <c r="V366" s="3">
        <v>72</v>
      </c>
      <c r="W366" s="3">
        <v>0</v>
      </c>
      <c r="X366" s="3" t="s">
        <v>147</v>
      </c>
      <c r="Y366" s="3">
        <v>0</v>
      </c>
      <c r="Z366" s="3">
        <v>0</v>
      </c>
      <c r="AA366" s="3">
        <v>0</v>
      </c>
      <c r="AB366" s="3">
        <v>0</v>
      </c>
      <c r="AC366" s="3">
        <v>7</v>
      </c>
      <c r="AD366" s="3">
        <v>6</v>
      </c>
      <c r="AE366" s="3">
        <v>14</v>
      </c>
      <c r="AF366" s="3" t="s">
        <v>0</v>
      </c>
      <c r="AG366" s="3" t="s">
        <v>49</v>
      </c>
    </row>
    <row r="367" spans="1:33" ht="63.75" x14ac:dyDescent="0.2">
      <c r="A367" s="5" t="str">
        <f>HYPERLINK("http://www.patentics.cn/invokexml.do?sf=ShowPatent&amp;spn=US9066306&amp;sv=6e097a1d6108f1f3d0f03e1f4fb00bb7","US9066306")</f>
        <v>US9066306</v>
      </c>
      <c r="B367" s="3" t="s">
        <v>1597</v>
      </c>
      <c r="C367" s="3" t="s">
        <v>1598</v>
      </c>
      <c r="D367" s="3" t="s">
        <v>52</v>
      </c>
      <c r="E367" s="3" t="s">
        <v>52</v>
      </c>
      <c r="F367" s="3" t="s">
        <v>1599</v>
      </c>
      <c r="G367" s="3" t="s">
        <v>1600</v>
      </c>
      <c r="H367" s="3" t="s">
        <v>1601</v>
      </c>
      <c r="I367" s="3" t="s">
        <v>1602</v>
      </c>
      <c r="J367" s="3" t="s">
        <v>1596</v>
      </c>
      <c r="K367" s="3" t="s">
        <v>43</v>
      </c>
      <c r="L367" s="3" t="s">
        <v>377</v>
      </c>
      <c r="M367" s="3" t="s">
        <v>82</v>
      </c>
      <c r="N367" s="3" t="s">
        <v>1603</v>
      </c>
      <c r="O367" s="3">
        <v>0</v>
      </c>
      <c r="P367" s="3">
        <v>9</v>
      </c>
      <c r="Q367" s="3" t="s">
        <v>60</v>
      </c>
      <c r="R367" s="3" t="s">
        <v>61</v>
      </c>
      <c r="S367" s="3">
        <v>279</v>
      </c>
      <c r="T367" s="3">
        <v>62</v>
      </c>
      <c r="U367" s="3">
        <v>217</v>
      </c>
      <c r="V367" s="3">
        <v>74</v>
      </c>
      <c r="W367" s="3">
        <v>0</v>
      </c>
      <c r="X367" s="3" t="s">
        <v>147</v>
      </c>
      <c r="Y367" s="3">
        <v>0</v>
      </c>
      <c r="Z367" s="3">
        <v>0</v>
      </c>
      <c r="AA367" s="3">
        <v>0</v>
      </c>
      <c r="AB367" s="3">
        <v>0</v>
      </c>
      <c r="AC367" s="3">
        <v>151</v>
      </c>
      <c r="AD367" s="3">
        <v>17</v>
      </c>
      <c r="AE367" s="3">
        <v>14</v>
      </c>
      <c r="AF367" s="3" t="s">
        <v>0</v>
      </c>
      <c r="AG367" s="3" t="s">
        <v>49</v>
      </c>
    </row>
    <row r="368" spans="1:33" ht="76.5" x14ac:dyDescent="0.2">
      <c r="A368" s="5" t="str">
        <f>HYPERLINK("http://www.patentics.cn/invokexml.do?sf=ShowPatent&amp;spn=US9072102&amp;sv=a5e620b54c3effd4fa65e3f556729666","US9072102")</f>
        <v>US9072102</v>
      </c>
      <c r="B368" s="3" t="s">
        <v>1604</v>
      </c>
      <c r="C368" s="3" t="s">
        <v>1605</v>
      </c>
      <c r="D368" s="3" t="s">
        <v>52</v>
      </c>
      <c r="E368" s="3" t="s">
        <v>52</v>
      </c>
      <c r="F368" s="3" t="s">
        <v>1606</v>
      </c>
      <c r="G368" s="3" t="s">
        <v>1600</v>
      </c>
      <c r="H368" s="3" t="s">
        <v>1396</v>
      </c>
      <c r="I368" s="3" t="s">
        <v>1607</v>
      </c>
      <c r="J368" s="3" t="s">
        <v>1075</v>
      </c>
      <c r="K368" s="3" t="s">
        <v>82</v>
      </c>
      <c r="L368" s="3" t="s">
        <v>83</v>
      </c>
      <c r="M368" s="3" t="s">
        <v>0</v>
      </c>
      <c r="N368" s="3" t="s">
        <v>0</v>
      </c>
      <c r="O368" s="3">
        <v>0</v>
      </c>
      <c r="P368" s="3">
        <v>10</v>
      </c>
      <c r="Q368" s="3" t="s">
        <v>60</v>
      </c>
      <c r="R368" s="3" t="s">
        <v>61</v>
      </c>
      <c r="S368" s="3">
        <v>276</v>
      </c>
      <c r="T368" s="3">
        <v>58</v>
      </c>
      <c r="U368" s="3">
        <v>218</v>
      </c>
      <c r="V368" s="3">
        <v>73</v>
      </c>
      <c r="W368" s="3">
        <v>0</v>
      </c>
      <c r="X368" s="3" t="s">
        <v>147</v>
      </c>
      <c r="Y368" s="3">
        <v>0</v>
      </c>
      <c r="Z368" s="3">
        <v>0</v>
      </c>
      <c r="AA368" s="3">
        <v>0</v>
      </c>
      <c r="AB368" s="3">
        <v>0</v>
      </c>
      <c r="AC368" s="3">
        <v>130</v>
      </c>
      <c r="AD368" s="3">
        <v>16</v>
      </c>
      <c r="AE368" s="3">
        <v>14</v>
      </c>
      <c r="AF368" s="3" t="s">
        <v>0</v>
      </c>
      <c r="AG368" s="3" t="s">
        <v>49</v>
      </c>
    </row>
    <row r="369" spans="1:33" ht="89.25" x14ac:dyDescent="0.2">
      <c r="A369" s="5" t="str">
        <f>HYPERLINK("http://www.patentics.cn/invokexml.do?sf=ShowPatent&amp;spn=US9078269&amp;sv=26d7776144003c290994bdd77db8659d","US9078269")</f>
        <v>US9078269</v>
      </c>
      <c r="B369" s="3" t="s">
        <v>1608</v>
      </c>
      <c r="C369" s="3" t="s">
        <v>1609</v>
      </c>
      <c r="D369" s="3" t="s">
        <v>52</v>
      </c>
      <c r="E369" s="3" t="s">
        <v>52</v>
      </c>
      <c r="F369" s="3" t="s">
        <v>1610</v>
      </c>
      <c r="G369" s="3" t="s">
        <v>1600</v>
      </c>
      <c r="H369" s="3" t="s">
        <v>1601</v>
      </c>
      <c r="I369" s="3" t="s">
        <v>1602</v>
      </c>
      <c r="J369" s="3" t="s">
        <v>1611</v>
      </c>
      <c r="K369" s="3" t="s">
        <v>82</v>
      </c>
      <c r="L369" s="3" t="s">
        <v>83</v>
      </c>
      <c r="M369" s="3" t="s">
        <v>0</v>
      </c>
      <c r="N369" s="3" t="s">
        <v>0</v>
      </c>
      <c r="O369" s="3">
        <v>0</v>
      </c>
      <c r="P369" s="3">
        <v>10</v>
      </c>
      <c r="Q369" s="3" t="s">
        <v>60</v>
      </c>
      <c r="R369" s="3" t="s">
        <v>61</v>
      </c>
      <c r="S369" s="3">
        <v>279</v>
      </c>
      <c r="T369" s="3">
        <v>59</v>
      </c>
      <c r="U369" s="3">
        <v>220</v>
      </c>
      <c r="V369" s="3">
        <v>74</v>
      </c>
      <c r="W369" s="3">
        <v>0</v>
      </c>
      <c r="X369" s="3" t="s">
        <v>147</v>
      </c>
      <c r="Y369" s="3">
        <v>0</v>
      </c>
      <c r="Z369" s="3">
        <v>0</v>
      </c>
      <c r="AA369" s="3">
        <v>0</v>
      </c>
      <c r="AB369" s="3">
        <v>0</v>
      </c>
      <c r="AC369" s="3">
        <v>151</v>
      </c>
      <c r="AD369" s="3">
        <v>17</v>
      </c>
      <c r="AE369" s="3">
        <v>14</v>
      </c>
      <c r="AF369" s="3" t="s">
        <v>0</v>
      </c>
      <c r="AG369" s="3" t="s">
        <v>49</v>
      </c>
    </row>
    <row r="370" spans="1:33" ht="76.5" x14ac:dyDescent="0.2">
      <c r="A370" s="5" t="str">
        <f>HYPERLINK("http://www.patentics.cn/invokexml.do?sf=ShowPatent&amp;spn=US9119217&amp;sv=a8c8dc7f77f5a1716d5209611db89e72","US9119217")</f>
        <v>US9119217</v>
      </c>
      <c r="B370" s="3" t="s">
        <v>1612</v>
      </c>
      <c r="C370" s="3" t="s">
        <v>1613</v>
      </c>
      <c r="D370" s="3" t="s">
        <v>52</v>
      </c>
      <c r="E370" s="3" t="s">
        <v>52</v>
      </c>
      <c r="F370" s="3" t="s">
        <v>1614</v>
      </c>
      <c r="G370" s="3" t="s">
        <v>1615</v>
      </c>
      <c r="H370" s="3" t="s">
        <v>1396</v>
      </c>
      <c r="I370" s="3" t="s">
        <v>1616</v>
      </c>
      <c r="J370" s="3" t="s">
        <v>1085</v>
      </c>
      <c r="K370" s="3" t="s">
        <v>82</v>
      </c>
      <c r="L370" s="3" t="s">
        <v>83</v>
      </c>
      <c r="M370" s="3" t="s">
        <v>0</v>
      </c>
      <c r="N370" s="3" t="s">
        <v>0</v>
      </c>
      <c r="O370" s="3">
        <v>0</v>
      </c>
      <c r="P370" s="3">
        <v>12</v>
      </c>
      <c r="Q370" s="3" t="s">
        <v>60</v>
      </c>
      <c r="R370" s="3" t="s">
        <v>61</v>
      </c>
      <c r="S370" s="3">
        <v>289</v>
      </c>
      <c r="T370" s="3">
        <v>72</v>
      </c>
      <c r="U370" s="3">
        <v>217</v>
      </c>
      <c r="V370" s="3">
        <v>72</v>
      </c>
      <c r="W370" s="3">
        <v>0</v>
      </c>
      <c r="X370" s="3" t="s">
        <v>147</v>
      </c>
      <c r="Y370" s="3">
        <v>0</v>
      </c>
      <c r="Z370" s="3">
        <v>0</v>
      </c>
      <c r="AA370" s="3">
        <v>0</v>
      </c>
      <c r="AB370" s="3">
        <v>0</v>
      </c>
      <c r="AC370" s="3">
        <v>130</v>
      </c>
      <c r="AD370" s="3">
        <v>16</v>
      </c>
      <c r="AE370" s="3">
        <v>14</v>
      </c>
      <c r="AF370" s="3" t="s">
        <v>0</v>
      </c>
      <c r="AG370" s="3" t="s">
        <v>49</v>
      </c>
    </row>
    <row r="371" spans="1:33" ht="63.75" x14ac:dyDescent="0.2">
      <c r="A371" s="5" t="str">
        <f>HYPERLINK("http://www.patentics.cn/invokexml.do?sf=ShowPatent&amp;spn=US9137806&amp;sv=da9a16b60cdaddd6bc09155096b5ec82","US9137806")</f>
        <v>US9137806</v>
      </c>
      <c r="B371" s="3" t="s">
        <v>1617</v>
      </c>
      <c r="C371" s="3" t="s">
        <v>1618</v>
      </c>
      <c r="D371" s="3" t="s">
        <v>52</v>
      </c>
      <c r="E371" s="3" t="s">
        <v>52</v>
      </c>
      <c r="F371" s="3" t="s">
        <v>1599</v>
      </c>
      <c r="G371" s="3" t="s">
        <v>1600</v>
      </c>
      <c r="H371" s="3" t="s">
        <v>1601</v>
      </c>
      <c r="I371" s="3" t="s">
        <v>1602</v>
      </c>
      <c r="J371" s="3" t="s">
        <v>225</v>
      </c>
      <c r="K371" s="3" t="s">
        <v>70</v>
      </c>
      <c r="L371" s="3" t="s">
        <v>467</v>
      </c>
      <c r="M371" s="3" t="s">
        <v>82</v>
      </c>
      <c r="N371" s="3" t="s">
        <v>977</v>
      </c>
      <c r="O371" s="3">
        <v>0</v>
      </c>
      <c r="P371" s="3">
        <v>9</v>
      </c>
      <c r="Q371" s="3" t="s">
        <v>60</v>
      </c>
      <c r="R371" s="3" t="s">
        <v>61</v>
      </c>
      <c r="S371" s="3">
        <v>282</v>
      </c>
      <c r="T371" s="3">
        <v>62</v>
      </c>
      <c r="U371" s="3">
        <v>220</v>
      </c>
      <c r="V371" s="3">
        <v>74</v>
      </c>
      <c r="W371" s="3">
        <v>1</v>
      </c>
      <c r="X371" s="3" t="s">
        <v>403</v>
      </c>
      <c r="Y371" s="3">
        <v>0</v>
      </c>
      <c r="Z371" s="3">
        <v>1</v>
      </c>
      <c r="AA371" s="3">
        <v>1</v>
      </c>
      <c r="AB371" s="3">
        <v>1</v>
      </c>
      <c r="AC371" s="3">
        <v>151</v>
      </c>
      <c r="AD371" s="3">
        <v>17</v>
      </c>
      <c r="AE371" s="3">
        <v>14</v>
      </c>
      <c r="AF371" s="3" t="s">
        <v>0</v>
      </c>
      <c r="AG371" s="3" t="s">
        <v>49</v>
      </c>
    </row>
    <row r="372" spans="1:33" ht="63.75" x14ac:dyDescent="0.2">
      <c r="A372" s="5" t="str">
        <f>HYPERLINK("http://www.patentics.cn/invokexml.do?sf=ShowPatent&amp;spn=US9288814&amp;sv=65bee91c243cf3c6eda14d239f755ab1","US9288814")</f>
        <v>US9288814</v>
      </c>
      <c r="B372" s="3" t="s">
        <v>1619</v>
      </c>
      <c r="C372" s="3" t="s">
        <v>1620</v>
      </c>
      <c r="D372" s="3" t="s">
        <v>52</v>
      </c>
      <c r="E372" s="3" t="s">
        <v>52</v>
      </c>
      <c r="F372" s="3" t="s">
        <v>1621</v>
      </c>
      <c r="G372" s="3" t="s">
        <v>1600</v>
      </c>
      <c r="H372" s="3" t="s">
        <v>1396</v>
      </c>
      <c r="I372" s="3" t="s">
        <v>1622</v>
      </c>
      <c r="J372" s="3" t="s">
        <v>689</v>
      </c>
      <c r="K372" s="3" t="s">
        <v>82</v>
      </c>
      <c r="L372" s="3" t="s">
        <v>318</v>
      </c>
      <c r="M372" s="3" t="s">
        <v>82</v>
      </c>
      <c r="N372" s="3" t="s">
        <v>977</v>
      </c>
      <c r="O372" s="3">
        <v>0</v>
      </c>
      <c r="P372" s="3">
        <v>14</v>
      </c>
      <c r="Q372" s="3" t="s">
        <v>60</v>
      </c>
      <c r="R372" s="3" t="s">
        <v>61</v>
      </c>
      <c r="S372" s="3">
        <v>300</v>
      </c>
      <c r="T372" s="3">
        <v>76</v>
      </c>
      <c r="U372" s="3">
        <v>224</v>
      </c>
      <c r="V372" s="3">
        <v>73</v>
      </c>
      <c r="W372" s="3">
        <v>0</v>
      </c>
      <c r="X372" s="3" t="s">
        <v>147</v>
      </c>
      <c r="Y372" s="3">
        <v>0</v>
      </c>
      <c r="Z372" s="3">
        <v>0</v>
      </c>
      <c r="AA372" s="3">
        <v>0</v>
      </c>
      <c r="AB372" s="3">
        <v>0</v>
      </c>
      <c r="AC372" s="3">
        <v>130</v>
      </c>
      <c r="AD372" s="3">
        <v>16</v>
      </c>
      <c r="AE372" s="3">
        <v>14</v>
      </c>
      <c r="AF372" s="3" t="s">
        <v>0</v>
      </c>
      <c r="AG372" s="3" t="s">
        <v>49</v>
      </c>
    </row>
    <row r="373" spans="1:33" ht="63.75" x14ac:dyDescent="0.2">
      <c r="A373" s="5" t="str">
        <f>HYPERLINK("http://www.patentics.cn/invokexml.do?sf=ShowPatent&amp;spn=US9344973&amp;sv=9f3c62ab79839f1228816f43bb88e558","US9344973")</f>
        <v>US9344973</v>
      </c>
      <c r="B373" s="3" t="s">
        <v>1623</v>
      </c>
      <c r="C373" s="3" t="s">
        <v>1624</v>
      </c>
      <c r="D373" s="3" t="s">
        <v>52</v>
      </c>
      <c r="E373" s="3" t="s">
        <v>52</v>
      </c>
      <c r="F373" s="3" t="s">
        <v>1621</v>
      </c>
      <c r="G373" s="3" t="s">
        <v>1600</v>
      </c>
      <c r="H373" s="3" t="s">
        <v>1601</v>
      </c>
      <c r="I373" s="3" t="s">
        <v>1622</v>
      </c>
      <c r="J373" s="3" t="s">
        <v>1625</v>
      </c>
      <c r="K373" s="3" t="s">
        <v>82</v>
      </c>
      <c r="L373" s="3" t="s">
        <v>1626</v>
      </c>
      <c r="M373" s="3" t="s">
        <v>82</v>
      </c>
      <c r="N373" s="3" t="s">
        <v>1603</v>
      </c>
      <c r="O373" s="3">
        <v>0</v>
      </c>
      <c r="P373" s="3">
        <v>5</v>
      </c>
      <c r="Q373" s="3" t="s">
        <v>60</v>
      </c>
      <c r="R373" s="3" t="s">
        <v>61</v>
      </c>
      <c r="S373" s="3">
        <v>293</v>
      </c>
      <c r="T373" s="3">
        <v>74</v>
      </c>
      <c r="U373" s="3">
        <v>219</v>
      </c>
      <c r="V373" s="3">
        <v>72</v>
      </c>
      <c r="W373" s="3">
        <v>0</v>
      </c>
      <c r="X373" s="3" t="s">
        <v>147</v>
      </c>
      <c r="Y373" s="3">
        <v>0</v>
      </c>
      <c r="Z373" s="3">
        <v>0</v>
      </c>
      <c r="AA373" s="3">
        <v>0</v>
      </c>
      <c r="AB373" s="3">
        <v>0</v>
      </c>
      <c r="AC373" s="3">
        <v>151</v>
      </c>
      <c r="AD373" s="3">
        <v>17</v>
      </c>
      <c r="AE373" s="3">
        <v>14</v>
      </c>
      <c r="AF373" s="3" t="s">
        <v>0</v>
      </c>
      <c r="AG373" s="3" t="s">
        <v>49</v>
      </c>
    </row>
    <row r="374" spans="1:33" ht="63.75" x14ac:dyDescent="0.2">
      <c r="A374" s="5" t="str">
        <f>HYPERLINK("http://www.patentics.cn/invokexml.do?sf=ShowPatent&amp;spn=US9374791&amp;sv=5d88f33644038943d805e3c4f8720375","US9374791")</f>
        <v>US9374791</v>
      </c>
      <c r="B374" s="3" t="s">
        <v>1627</v>
      </c>
      <c r="C374" s="3" t="s">
        <v>1624</v>
      </c>
      <c r="D374" s="3" t="s">
        <v>52</v>
      </c>
      <c r="E374" s="3" t="s">
        <v>52</v>
      </c>
      <c r="F374" s="3" t="s">
        <v>1599</v>
      </c>
      <c r="G374" s="3" t="s">
        <v>1600</v>
      </c>
      <c r="H374" s="3" t="s">
        <v>1601</v>
      </c>
      <c r="I374" s="3" t="s">
        <v>1602</v>
      </c>
      <c r="J374" s="3" t="s">
        <v>1094</v>
      </c>
      <c r="K374" s="3" t="s">
        <v>84</v>
      </c>
      <c r="L374" s="3" t="s">
        <v>310</v>
      </c>
      <c r="M374" s="3" t="s">
        <v>82</v>
      </c>
      <c r="N374" s="3" t="s">
        <v>1603</v>
      </c>
      <c r="O374" s="3">
        <v>0</v>
      </c>
      <c r="P374" s="3">
        <v>13</v>
      </c>
      <c r="Q374" s="3" t="s">
        <v>60</v>
      </c>
      <c r="R374" s="3" t="s">
        <v>61</v>
      </c>
      <c r="S374" s="3">
        <v>284</v>
      </c>
      <c r="T374" s="3">
        <v>65</v>
      </c>
      <c r="U374" s="3">
        <v>219</v>
      </c>
      <c r="V374" s="3">
        <v>74</v>
      </c>
      <c r="W374" s="3">
        <v>0</v>
      </c>
      <c r="X374" s="3" t="s">
        <v>147</v>
      </c>
      <c r="Y374" s="3">
        <v>0</v>
      </c>
      <c r="Z374" s="3">
        <v>0</v>
      </c>
      <c r="AA374" s="3">
        <v>0</v>
      </c>
      <c r="AB374" s="3">
        <v>0</v>
      </c>
      <c r="AC374" s="3">
        <v>151</v>
      </c>
      <c r="AD374" s="3">
        <v>17</v>
      </c>
      <c r="AE374" s="3">
        <v>14</v>
      </c>
      <c r="AF374" s="3" t="s">
        <v>0</v>
      </c>
      <c r="AG374" s="3" t="s">
        <v>49</v>
      </c>
    </row>
    <row r="375" spans="1:33" ht="63.75" x14ac:dyDescent="0.2">
      <c r="A375" s="4" t="str">
        <f>HYPERLINK("http://www.patentics.cn/invokexml.do?sf=ShowPatent&amp;spn=US20040042438&amp;sv=d27fb1410cc7e62b290a7c53fd69a8f5","US20040042438")</f>
        <v>US20040042438</v>
      </c>
      <c r="B375" s="2" t="s">
        <v>1628</v>
      </c>
      <c r="C375" s="2" t="s">
        <v>1629</v>
      </c>
      <c r="D375" s="2" t="s">
        <v>346</v>
      </c>
      <c r="E375" s="2" t="s">
        <v>346</v>
      </c>
      <c r="F375" s="2" t="s">
        <v>1630</v>
      </c>
      <c r="G375" s="2" t="s">
        <v>1504</v>
      </c>
      <c r="H375" s="2" t="s">
        <v>1631</v>
      </c>
      <c r="I375" s="2" t="s">
        <v>1632</v>
      </c>
      <c r="J375" s="2" t="s">
        <v>1633</v>
      </c>
      <c r="K375" s="2" t="s">
        <v>84</v>
      </c>
      <c r="L375" s="2" t="s">
        <v>114</v>
      </c>
      <c r="M375" s="2" t="s">
        <v>0</v>
      </c>
      <c r="N375" s="2" t="s">
        <v>0</v>
      </c>
      <c r="O375" s="2">
        <v>69</v>
      </c>
      <c r="P375" s="2">
        <v>15</v>
      </c>
      <c r="Q375" s="2" t="s">
        <v>352</v>
      </c>
      <c r="R375" s="2" t="s">
        <v>61</v>
      </c>
      <c r="S375" s="2">
        <v>0</v>
      </c>
      <c r="T375" s="2">
        <v>0</v>
      </c>
      <c r="U375" s="2">
        <v>0</v>
      </c>
      <c r="V375" s="2">
        <v>0</v>
      </c>
      <c r="W375" s="2">
        <v>45</v>
      </c>
      <c r="X375" s="2" t="s">
        <v>1634</v>
      </c>
      <c r="Y375" s="2">
        <v>20</v>
      </c>
      <c r="Z375" s="2">
        <v>25</v>
      </c>
      <c r="AA375" s="2">
        <v>14</v>
      </c>
      <c r="AB375" s="2">
        <v>6</v>
      </c>
      <c r="AC375" s="2">
        <v>12</v>
      </c>
      <c r="AD375" s="2">
        <v>7</v>
      </c>
      <c r="AE375" s="2" t="s">
        <v>0</v>
      </c>
      <c r="AF375" s="2">
        <v>8</v>
      </c>
      <c r="AG375" s="2" t="s">
        <v>49</v>
      </c>
    </row>
    <row r="376" spans="1:33" ht="102" x14ac:dyDescent="0.2">
      <c r="A376" s="5" t="str">
        <f>HYPERLINK("http://www.patentics.cn/invokexml.do?sf=ShowPatent&amp;spn=US7289822&amp;sv=c449ba0b7298ea162beb7440004851b2","US7289822")</f>
        <v>US7289822</v>
      </c>
      <c r="B376" s="3" t="s">
        <v>1635</v>
      </c>
      <c r="C376" s="3" t="s">
        <v>1636</v>
      </c>
      <c r="D376" s="3" t="s">
        <v>52</v>
      </c>
      <c r="E376" s="3" t="s">
        <v>52</v>
      </c>
      <c r="F376" s="3" t="s">
        <v>1637</v>
      </c>
      <c r="G376" s="3" t="s">
        <v>1638</v>
      </c>
      <c r="H376" s="3" t="s">
        <v>1639</v>
      </c>
      <c r="I376" s="3" t="s">
        <v>132</v>
      </c>
      <c r="J376" s="3" t="s">
        <v>1640</v>
      </c>
      <c r="K376" s="3" t="s">
        <v>84</v>
      </c>
      <c r="L376" s="3" t="s">
        <v>163</v>
      </c>
      <c r="M376" s="3" t="s">
        <v>82</v>
      </c>
      <c r="N376" s="3" t="s">
        <v>1641</v>
      </c>
      <c r="O376" s="3">
        <v>0</v>
      </c>
      <c r="P376" s="3">
        <v>18</v>
      </c>
      <c r="Q376" s="3" t="s">
        <v>60</v>
      </c>
      <c r="R376" s="3" t="s">
        <v>61</v>
      </c>
      <c r="S376" s="3">
        <v>6</v>
      </c>
      <c r="T376" s="3">
        <v>0</v>
      </c>
      <c r="U376" s="3">
        <v>6</v>
      </c>
      <c r="V376" s="3">
        <v>3</v>
      </c>
      <c r="W376" s="3">
        <v>4</v>
      </c>
      <c r="X376" s="3" t="s">
        <v>1642</v>
      </c>
      <c r="Y376" s="3">
        <v>3</v>
      </c>
      <c r="Z376" s="3">
        <v>1</v>
      </c>
      <c r="AA376" s="3">
        <v>2</v>
      </c>
      <c r="AB376" s="3">
        <v>1</v>
      </c>
      <c r="AC376" s="3">
        <v>19</v>
      </c>
      <c r="AD376" s="3">
        <v>11</v>
      </c>
      <c r="AE376" s="3">
        <v>14</v>
      </c>
      <c r="AF376" s="3" t="s">
        <v>0</v>
      </c>
      <c r="AG376" s="3" t="s">
        <v>49</v>
      </c>
    </row>
    <row r="377" spans="1:33" ht="191.25" x14ac:dyDescent="0.2">
      <c r="A377" s="5" t="str">
        <f>HYPERLINK("http://www.patentics.cn/invokexml.do?sf=ShowPatent&amp;spn=US7734257&amp;sv=bbd9f5c57e341846cc0b07463203ef7d","US7734257")</f>
        <v>US7734257</v>
      </c>
      <c r="B377" s="3" t="s">
        <v>1643</v>
      </c>
      <c r="C377" s="3" t="s">
        <v>1644</v>
      </c>
      <c r="D377" s="3" t="s">
        <v>52</v>
      </c>
      <c r="E377" s="3" t="s">
        <v>52</v>
      </c>
      <c r="F377" s="3" t="s">
        <v>1645</v>
      </c>
      <c r="G377" s="3" t="s">
        <v>1646</v>
      </c>
      <c r="H377" s="3" t="s">
        <v>1647</v>
      </c>
      <c r="I377" s="3" t="s">
        <v>1648</v>
      </c>
      <c r="J377" s="3" t="s">
        <v>371</v>
      </c>
      <c r="K377" s="3" t="s">
        <v>84</v>
      </c>
      <c r="L377" s="3" t="s">
        <v>310</v>
      </c>
      <c r="M377" s="3" t="s">
        <v>82</v>
      </c>
      <c r="N377" s="3" t="s">
        <v>1649</v>
      </c>
      <c r="O377" s="3">
        <v>0</v>
      </c>
      <c r="P377" s="3">
        <v>14</v>
      </c>
      <c r="Q377" s="3" t="s">
        <v>60</v>
      </c>
      <c r="R377" s="3" t="s">
        <v>61</v>
      </c>
      <c r="S377" s="3">
        <v>38</v>
      </c>
      <c r="T377" s="3">
        <v>14</v>
      </c>
      <c r="U377" s="3">
        <v>24</v>
      </c>
      <c r="V377" s="3">
        <v>13</v>
      </c>
      <c r="W377" s="3">
        <v>7</v>
      </c>
      <c r="X377" s="3" t="s">
        <v>1650</v>
      </c>
      <c r="Y377" s="3">
        <v>2</v>
      </c>
      <c r="Z377" s="3">
        <v>5</v>
      </c>
      <c r="AA377" s="3">
        <v>4</v>
      </c>
      <c r="AB377" s="3">
        <v>1</v>
      </c>
      <c r="AC377" s="3">
        <v>22</v>
      </c>
      <c r="AD377" s="3">
        <v>15</v>
      </c>
      <c r="AE377" s="3">
        <v>14</v>
      </c>
      <c r="AF377" s="3" t="s">
        <v>0</v>
      </c>
      <c r="AG377" s="3" t="s">
        <v>49</v>
      </c>
    </row>
    <row r="378" spans="1:33" ht="153" x14ac:dyDescent="0.2">
      <c r="A378" s="5" t="str">
        <f>HYPERLINK("http://www.patentics.cn/invokexml.do?sf=ShowPatent&amp;spn=US8582905&amp;sv=a68855b6ba0cf0a7feaae664aa35ee0a","US8582905")</f>
        <v>US8582905</v>
      </c>
      <c r="B378" s="3" t="s">
        <v>1651</v>
      </c>
      <c r="C378" s="3" t="s">
        <v>1652</v>
      </c>
      <c r="D378" s="3" t="s">
        <v>52</v>
      </c>
      <c r="E378" s="3" t="s">
        <v>52</v>
      </c>
      <c r="F378" s="3" t="s">
        <v>1653</v>
      </c>
      <c r="G378" s="3" t="s">
        <v>1654</v>
      </c>
      <c r="H378" s="3" t="s">
        <v>1655</v>
      </c>
      <c r="I378" s="3" t="s">
        <v>1656</v>
      </c>
      <c r="J378" s="3" t="s">
        <v>118</v>
      </c>
      <c r="K378" s="3" t="s">
        <v>1657</v>
      </c>
      <c r="L378" s="3" t="s">
        <v>1658</v>
      </c>
      <c r="M378" s="3" t="s">
        <v>544</v>
      </c>
      <c r="N378" s="3" t="s">
        <v>1659</v>
      </c>
      <c r="O378" s="3">
        <v>0</v>
      </c>
      <c r="P378" s="3">
        <v>14</v>
      </c>
      <c r="Q378" s="3" t="s">
        <v>60</v>
      </c>
      <c r="R378" s="3" t="s">
        <v>61</v>
      </c>
      <c r="S378" s="3">
        <v>108</v>
      </c>
      <c r="T378" s="3">
        <v>16</v>
      </c>
      <c r="U378" s="3">
        <v>92</v>
      </c>
      <c r="V378" s="3">
        <v>42</v>
      </c>
      <c r="W378" s="3">
        <v>0</v>
      </c>
      <c r="X378" s="3" t="s">
        <v>147</v>
      </c>
      <c r="Y378" s="3">
        <v>0</v>
      </c>
      <c r="Z378" s="3">
        <v>0</v>
      </c>
      <c r="AA378" s="3">
        <v>0</v>
      </c>
      <c r="AB378" s="3">
        <v>0</v>
      </c>
      <c r="AC378" s="3">
        <v>23</v>
      </c>
      <c r="AD378" s="3">
        <v>7</v>
      </c>
      <c r="AE378" s="3">
        <v>14</v>
      </c>
      <c r="AF378" s="3" t="s">
        <v>0</v>
      </c>
      <c r="AG378" s="3" t="s">
        <v>49</v>
      </c>
    </row>
    <row r="379" spans="1:33" ht="191.25" x14ac:dyDescent="0.2">
      <c r="A379" s="5" t="str">
        <f>HYPERLINK("http://www.patentics.cn/invokexml.do?sf=ShowPatent&amp;spn=US8774816&amp;sv=40c71ed6d024f5fa224e24b909701534","US8774816")</f>
        <v>US8774816</v>
      </c>
      <c r="B379" s="3" t="s">
        <v>1660</v>
      </c>
      <c r="C379" s="3" t="s">
        <v>1644</v>
      </c>
      <c r="D379" s="3" t="s">
        <v>52</v>
      </c>
      <c r="E379" s="3" t="s">
        <v>52</v>
      </c>
      <c r="F379" s="3" t="s">
        <v>1645</v>
      </c>
      <c r="G379" s="3" t="s">
        <v>1646</v>
      </c>
      <c r="H379" s="3" t="s">
        <v>1647</v>
      </c>
      <c r="I379" s="3" t="s">
        <v>1661</v>
      </c>
      <c r="J379" s="3" t="s">
        <v>1662</v>
      </c>
      <c r="K379" s="3" t="s">
        <v>84</v>
      </c>
      <c r="L379" s="3" t="s">
        <v>163</v>
      </c>
      <c r="M379" s="3" t="s">
        <v>82</v>
      </c>
      <c r="N379" s="3" t="s">
        <v>1649</v>
      </c>
      <c r="O379" s="3">
        <v>0</v>
      </c>
      <c r="P379" s="3">
        <v>10</v>
      </c>
      <c r="Q379" s="3" t="s">
        <v>60</v>
      </c>
      <c r="R379" s="3" t="s">
        <v>61</v>
      </c>
      <c r="S379" s="3">
        <v>58</v>
      </c>
      <c r="T379" s="3">
        <v>17</v>
      </c>
      <c r="U379" s="3">
        <v>41</v>
      </c>
      <c r="V379" s="3">
        <v>16</v>
      </c>
      <c r="W379" s="3">
        <v>0</v>
      </c>
      <c r="X379" s="3" t="s">
        <v>147</v>
      </c>
      <c r="Y379" s="3">
        <v>0</v>
      </c>
      <c r="Z379" s="3">
        <v>0</v>
      </c>
      <c r="AA379" s="3">
        <v>0</v>
      </c>
      <c r="AB379" s="3">
        <v>0</v>
      </c>
      <c r="AC379" s="3">
        <v>22</v>
      </c>
      <c r="AD379" s="3">
        <v>15</v>
      </c>
      <c r="AE379" s="3">
        <v>14</v>
      </c>
      <c r="AF379" s="3" t="s">
        <v>0</v>
      </c>
      <c r="AG379" s="3" t="s">
        <v>49</v>
      </c>
    </row>
    <row r="380" spans="1:33" ht="140.25" x14ac:dyDescent="0.2">
      <c r="A380" s="5" t="str">
        <f>HYPERLINK("http://www.patentics.cn/invokexml.do?sf=ShowPatent&amp;spn=US8792555&amp;sv=727b360e79213664f9b89c85ecd1005e","US8792555")</f>
        <v>US8792555</v>
      </c>
      <c r="B380" s="3" t="s">
        <v>1663</v>
      </c>
      <c r="C380" s="3" t="s">
        <v>1664</v>
      </c>
      <c r="D380" s="3" t="s">
        <v>52</v>
      </c>
      <c r="E380" s="3" t="s">
        <v>52</v>
      </c>
      <c r="F380" s="3" t="s">
        <v>1665</v>
      </c>
      <c r="G380" s="3" t="s">
        <v>1654</v>
      </c>
      <c r="H380" s="3" t="s">
        <v>1655</v>
      </c>
      <c r="I380" s="3" t="s">
        <v>1656</v>
      </c>
      <c r="J380" s="3" t="s">
        <v>1666</v>
      </c>
      <c r="K380" s="3" t="s">
        <v>544</v>
      </c>
      <c r="L380" s="3" t="s">
        <v>735</v>
      </c>
      <c r="M380" s="3" t="s">
        <v>544</v>
      </c>
      <c r="N380" s="3" t="s">
        <v>1659</v>
      </c>
      <c r="O380" s="3">
        <v>0</v>
      </c>
      <c r="P380" s="3">
        <v>15</v>
      </c>
      <c r="Q380" s="3" t="s">
        <v>60</v>
      </c>
      <c r="R380" s="3" t="s">
        <v>61</v>
      </c>
      <c r="S380" s="3">
        <v>116</v>
      </c>
      <c r="T380" s="3">
        <v>17</v>
      </c>
      <c r="U380" s="3">
        <v>99</v>
      </c>
      <c r="V380" s="3">
        <v>44</v>
      </c>
      <c r="W380" s="3">
        <v>1</v>
      </c>
      <c r="X380" s="3" t="s">
        <v>147</v>
      </c>
      <c r="Y380" s="3">
        <v>0</v>
      </c>
      <c r="Z380" s="3">
        <v>1</v>
      </c>
      <c r="AA380" s="3">
        <v>1</v>
      </c>
      <c r="AB380" s="3">
        <v>1</v>
      </c>
      <c r="AC380" s="3">
        <v>23</v>
      </c>
      <c r="AD380" s="3">
        <v>7</v>
      </c>
      <c r="AE380" s="3">
        <v>14</v>
      </c>
      <c r="AF380" s="3" t="s">
        <v>0</v>
      </c>
      <c r="AG380" s="3" t="s">
        <v>49</v>
      </c>
    </row>
    <row r="381" spans="1:33" ht="369.75" x14ac:dyDescent="0.2">
      <c r="A381" s="5" t="str">
        <f>HYPERLINK("http://www.patentics.cn/invokexml.do?sf=ShowPatent&amp;spn=US8885470&amp;sv=ea6d05052b4a481037b63ba8271663eb","US8885470")</f>
        <v>US8885470</v>
      </c>
      <c r="B381" s="3" t="s">
        <v>1667</v>
      </c>
      <c r="C381" s="3" t="s">
        <v>1668</v>
      </c>
      <c r="D381" s="3" t="s">
        <v>52</v>
      </c>
      <c r="E381" s="3" t="s">
        <v>52</v>
      </c>
      <c r="F381" s="3" t="s">
        <v>1669</v>
      </c>
      <c r="G381" s="3" t="s">
        <v>1670</v>
      </c>
      <c r="H381" s="3" t="s">
        <v>1656</v>
      </c>
      <c r="I381" s="3" t="s">
        <v>1671</v>
      </c>
      <c r="J381" s="3" t="s">
        <v>196</v>
      </c>
      <c r="K381" s="3" t="s">
        <v>58</v>
      </c>
      <c r="L381" s="3" t="s">
        <v>613</v>
      </c>
      <c r="M381" s="3" t="s">
        <v>544</v>
      </c>
      <c r="N381" s="3" t="s">
        <v>1672</v>
      </c>
      <c r="O381" s="3">
        <v>0</v>
      </c>
      <c r="P381" s="3">
        <v>16</v>
      </c>
      <c r="Q381" s="3" t="s">
        <v>60</v>
      </c>
      <c r="R381" s="3" t="s">
        <v>61</v>
      </c>
      <c r="S381" s="3">
        <v>111</v>
      </c>
      <c r="T381" s="3">
        <v>16</v>
      </c>
      <c r="U381" s="3">
        <v>95</v>
      </c>
      <c r="V381" s="3">
        <v>45</v>
      </c>
      <c r="W381" s="3">
        <v>1</v>
      </c>
      <c r="X381" s="3" t="s">
        <v>147</v>
      </c>
      <c r="Y381" s="3">
        <v>0</v>
      </c>
      <c r="Z381" s="3">
        <v>1</v>
      </c>
      <c r="AA381" s="3">
        <v>1</v>
      </c>
      <c r="AB381" s="3">
        <v>1</v>
      </c>
      <c r="AC381" s="3">
        <v>19</v>
      </c>
      <c r="AD381" s="3">
        <v>10</v>
      </c>
      <c r="AE381" s="3">
        <v>14</v>
      </c>
      <c r="AF381" s="3" t="s">
        <v>0</v>
      </c>
      <c r="AG381" s="3" t="s">
        <v>49</v>
      </c>
    </row>
    <row r="382" spans="1:33" ht="38.25" x14ac:dyDescent="0.2">
      <c r="A382" s="5" t="str">
        <f>HYPERLINK("http://www.patentics.cn/invokexml.do?sf=ShowPatent&amp;spn=US9497684&amp;sv=82b99494aee10c2a500f9081633b781a","US9497684")</f>
        <v>US9497684</v>
      </c>
      <c r="B382" s="3" t="s">
        <v>1673</v>
      </c>
      <c r="C382" s="3" t="s">
        <v>1674</v>
      </c>
      <c r="D382" s="3" t="s">
        <v>52</v>
      </c>
      <c r="E382" s="3" t="s">
        <v>52</v>
      </c>
      <c r="F382" s="3" t="s">
        <v>1675</v>
      </c>
      <c r="G382" s="3" t="s">
        <v>1675</v>
      </c>
      <c r="H382" s="3" t="s">
        <v>1676</v>
      </c>
      <c r="I382" s="3" t="s">
        <v>1676</v>
      </c>
      <c r="J382" s="3" t="s">
        <v>1677</v>
      </c>
      <c r="K382" s="3" t="s">
        <v>82</v>
      </c>
      <c r="L382" s="3" t="s">
        <v>177</v>
      </c>
      <c r="M382" s="3" t="s">
        <v>82</v>
      </c>
      <c r="N382" s="3" t="s">
        <v>1678</v>
      </c>
      <c r="O382" s="3">
        <v>0</v>
      </c>
      <c r="P382" s="3">
        <v>26</v>
      </c>
      <c r="Q382" s="3" t="s">
        <v>60</v>
      </c>
      <c r="R382" s="3" t="s">
        <v>61</v>
      </c>
      <c r="S382" s="3">
        <v>13</v>
      </c>
      <c r="T382" s="3">
        <v>0</v>
      </c>
      <c r="U382" s="3">
        <v>13</v>
      </c>
      <c r="V382" s="3">
        <v>7</v>
      </c>
      <c r="W382" s="3">
        <v>0</v>
      </c>
      <c r="X382" s="3" t="s">
        <v>147</v>
      </c>
      <c r="Y382" s="3">
        <v>0</v>
      </c>
      <c r="Z382" s="3">
        <v>0</v>
      </c>
      <c r="AA382" s="3">
        <v>0</v>
      </c>
      <c r="AB382" s="3">
        <v>0</v>
      </c>
      <c r="AC382" s="3">
        <v>2</v>
      </c>
      <c r="AD382" s="3">
        <v>2</v>
      </c>
      <c r="AE382" s="3">
        <v>14</v>
      </c>
      <c r="AF382" s="3" t="s">
        <v>0</v>
      </c>
      <c r="AG382" s="3" t="s">
        <v>49</v>
      </c>
    </row>
    <row r="383" spans="1:33" ht="102" x14ac:dyDescent="0.2">
      <c r="A383" s="5" t="str">
        <f>HYPERLINK("http://www.patentics.cn/invokexml.do?sf=ShowPatent&amp;spn=WO2006002266&amp;sv=d25235c37bfbdbac90c4089c892753fa","WO2006002266")</f>
        <v>WO2006002266</v>
      </c>
      <c r="B383" s="3" t="s">
        <v>1679</v>
      </c>
      <c r="C383" s="3" t="s">
        <v>1680</v>
      </c>
      <c r="D383" s="3" t="s">
        <v>1681</v>
      </c>
      <c r="E383" s="3" t="s">
        <v>1682</v>
      </c>
      <c r="F383" s="3" t="s">
        <v>1683</v>
      </c>
      <c r="G383" s="3" t="s">
        <v>1684</v>
      </c>
      <c r="H383" s="3" t="s">
        <v>1639</v>
      </c>
      <c r="I383" s="3" t="s">
        <v>1685</v>
      </c>
      <c r="J383" s="3" t="s">
        <v>174</v>
      </c>
      <c r="K383" s="3" t="s">
        <v>82</v>
      </c>
      <c r="L383" s="3" t="s">
        <v>1686</v>
      </c>
      <c r="M383" s="3" t="s">
        <v>0</v>
      </c>
      <c r="N383" s="3" t="s">
        <v>0</v>
      </c>
      <c r="O383" s="3">
        <v>34</v>
      </c>
      <c r="P383" s="3">
        <v>11</v>
      </c>
      <c r="Q383" s="3" t="s">
        <v>352</v>
      </c>
      <c r="R383" s="3" t="s">
        <v>61</v>
      </c>
      <c r="S383" s="3">
        <v>3</v>
      </c>
      <c r="T383" s="3">
        <v>1</v>
      </c>
      <c r="U383" s="3">
        <v>2</v>
      </c>
      <c r="V383" s="3">
        <v>2</v>
      </c>
      <c r="W383" s="3">
        <v>3</v>
      </c>
      <c r="X383" s="3" t="s">
        <v>129</v>
      </c>
      <c r="Y383" s="3">
        <v>2</v>
      </c>
      <c r="Z383" s="3">
        <v>1</v>
      </c>
      <c r="AA383" s="3">
        <v>2</v>
      </c>
      <c r="AB383" s="3">
        <v>2</v>
      </c>
      <c r="AC383" s="3">
        <v>19</v>
      </c>
      <c r="AD383" s="3">
        <v>11</v>
      </c>
      <c r="AE383" s="3">
        <v>14</v>
      </c>
      <c r="AF383" s="3" t="s">
        <v>0</v>
      </c>
      <c r="AG383" s="3" t="s">
        <v>0</v>
      </c>
    </row>
    <row r="384" spans="1:33" ht="38.25" x14ac:dyDescent="0.2">
      <c r="A384" s="4" t="str">
        <f>HYPERLINK("http://www.patentics.cn/invokexml.do?sf=ShowPatent&amp;spn=WO2011134318&amp;sv=aa5507f05efc5c1e35c951b55acc0136","WO2011134318")</f>
        <v>WO2011134318</v>
      </c>
      <c r="B384" s="2" t="s">
        <v>1687</v>
      </c>
      <c r="C384" s="2" t="s">
        <v>1688</v>
      </c>
      <c r="D384" s="2" t="s">
        <v>1689</v>
      </c>
      <c r="E384" s="2" t="s">
        <v>1689</v>
      </c>
      <c r="F384" s="2" t="s">
        <v>1690</v>
      </c>
      <c r="G384" s="2" t="s">
        <v>1691</v>
      </c>
      <c r="H384" s="2" t="s">
        <v>1403</v>
      </c>
      <c r="I384" s="2" t="s">
        <v>1692</v>
      </c>
      <c r="J384" s="2" t="s">
        <v>1693</v>
      </c>
      <c r="K384" s="2" t="s">
        <v>82</v>
      </c>
      <c r="L384" s="2" t="s">
        <v>1694</v>
      </c>
      <c r="M384" s="2" t="s">
        <v>0</v>
      </c>
      <c r="N384" s="2" t="s">
        <v>0</v>
      </c>
      <c r="O384" s="2">
        <v>4</v>
      </c>
      <c r="P384" s="2">
        <v>89</v>
      </c>
      <c r="Q384" s="2" t="s">
        <v>352</v>
      </c>
      <c r="R384" s="2" t="s">
        <v>47</v>
      </c>
      <c r="S384" s="2">
        <v>1</v>
      </c>
      <c r="T384" s="2">
        <v>0</v>
      </c>
      <c r="U384" s="2">
        <v>1</v>
      </c>
      <c r="V384" s="2">
        <v>1</v>
      </c>
      <c r="W384" s="2">
        <v>9</v>
      </c>
      <c r="X384" s="2" t="s">
        <v>1695</v>
      </c>
      <c r="Y384" s="2">
        <v>0</v>
      </c>
      <c r="Z384" s="2">
        <v>9</v>
      </c>
      <c r="AA384" s="2">
        <v>2</v>
      </c>
      <c r="AB384" s="2">
        <v>3</v>
      </c>
      <c r="AC384" s="2">
        <v>4</v>
      </c>
      <c r="AD384" s="2">
        <v>4</v>
      </c>
      <c r="AE384" s="2" t="s">
        <v>0</v>
      </c>
      <c r="AF384" s="2">
        <v>7</v>
      </c>
      <c r="AG384" s="2" t="s">
        <v>0</v>
      </c>
    </row>
    <row r="385" spans="1:33" ht="140.25" x14ac:dyDescent="0.2">
      <c r="A385" s="5" t="str">
        <f>HYPERLINK("http://www.patentics.cn/invokexml.do?sf=ShowPatent&amp;spn=US9047042&amp;sv=287fc24970231860a8b165022bffb77c","US9047042")</f>
        <v>US9047042</v>
      </c>
      <c r="B385" s="3" t="s">
        <v>1696</v>
      </c>
      <c r="C385" s="3" t="s">
        <v>1697</v>
      </c>
      <c r="D385" s="3" t="s">
        <v>52</v>
      </c>
      <c r="E385" s="3" t="s">
        <v>52</v>
      </c>
      <c r="F385" s="3" t="s">
        <v>1698</v>
      </c>
      <c r="G385" s="3" t="s">
        <v>1699</v>
      </c>
      <c r="H385" s="3" t="s">
        <v>1700</v>
      </c>
      <c r="I385" s="3" t="s">
        <v>1701</v>
      </c>
      <c r="J385" s="3" t="s">
        <v>505</v>
      </c>
      <c r="K385" s="3" t="s">
        <v>544</v>
      </c>
      <c r="L385" s="3" t="s">
        <v>1702</v>
      </c>
      <c r="M385" s="3" t="s">
        <v>555</v>
      </c>
      <c r="N385" s="3" t="s">
        <v>1703</v>
      </c>
      <c r="O385" s="3">
        <v>0</v>
      </c>
      <c r="P385" s="3">
        <v>31</v>
      </c>
      <c r="Q385" s="3" t="s">
        <v>60</v>
      </c>
      <c r="R385" s="3" t="s">
        <v>61</v>
      </c>
      <c r="S385" s="3">
        <v>42</v>
      </c>
      <c r="T385" s="3">
        <v>3</v>
      </c>
      <c r="U385" s="3">
        <v>39</v>
      </c>
      <c r="V385" s="3">
        <v>23</v>
      </c>
      <c r="W385" s="3">
        <v>1</v>
      </c>
      <c r="X385" s="3" t="s">
        <v>1061</v>
      </c>
      <c r="Y385" s="3">
        <v>0</v>
      </c>
      <c r="Z385" s="3">
        <v>1</v>
      </c>
      <c r="AA385" s="3">
        <v>1</v>
      </c>
      <c r="AB385" s="3">
        <v>1</v>
      </c>
      <c r="AC385" s="3">
        <v>6</v>
      </c>
      <c r="AD385" s="3">
        <v>2</v>
      </c>
      <c r="AE385" s="3">
        <v>14</v>
      </c>
      <c r="AF385" s="3" t="s">
        <v>0</v>
      </c>
      <c r="AG385" s="3" t="s">
        <v>49</v>
      </c>
    </row>
    <row r="386" spans="1:33" ht="76.5" x14ac:dyDescent="0.2">
      <c r="A386" s="5" t="str">
        <f>HYPERLINK("http://www.patentics.cn/invokexml.do?sf=ShowPatent&amp;spn=US9131266&amp;sv=0a18ea77b0c5da9359b91980c9694556","US9131266")</f>
        <v>US9131266</v>
      </c>
      <c r="B386" s="3" t="s">
        <v>1704</v>
      </c>
      <c r="C386" s="3" t="s">
        <v>1705</v>
      </c>
      <c r="D386" s="3" t="s">
        <v>52</v>
      </c>
      <c r="E386" s="3" t="s">
        <v>52</v>
      </c>
      <c r="F386" s="3" t="s">
        <v>1706</v>
      </c>
      <c r="G386" s="3" t="s">
        <v>1707</v>
      </c>
      <c r="H386" s="3" t="s">
        <v>1708</v>
      </c>
      <c r="I386" s="3" t="s">
        <v>1437</v>
      </c>
      <c r="J386" s="3" t="s">
        <v>219</v>
      </c>
      <c r="K386" s="3" t="s">
        <v>544</v>
      </c>
      <c r="L386" s="3" t="s">
        <v>1709</v>
      </c>
      <c r="M386" s="3" t="s">
        <v>0</v>
      </c>
      <c r="N386" s="3" t="s">
        <v>0</v>
      </c>
      <c r="O386" s="3">
        <v>0</v>
      </c>
      <c r="P386" s="3">
        <v>13</v>
      </c>
      <c r="Q386" s="3" t="s">
        <v>60</v>
      </c>
      <c r="R386" s="3" t="s">
        <v>61</v>
      </c>
      <c r="S386" s="3">
        <v>45</v>
      </c>
      <c r="T386" s="3">
        <v>2</v>
      </c>
      <c r="U386" s="3">
        <v>43</v>
      </c>
      <c r="V386" s="3">
        <v>25</v>
      </c>
      <c r="W386" s="3">
        <v>3</v>
      </c>
      <c r="X386" s="3" t="s">
        <v>933</v>
      </c>
      <c r="Y386" s="3">
        <v>3</v>
      </c>
      <c r="Z386" s="3">
        <v>0</v>
      </c>
      <c r="AA386" s="3">
        <v>1</v>
      </c>
      <c r="AB386" s="3">
        <v>1</v>
      </c>
      <c r="AC386" s="3">
        <v>5</v>
      </c>
      <c r="AD386" s="3">
        <v>5</v>
      </c>
      <c r="AE386" s="3">
        <v>14</v>
      </c>
      <c r="AF386" s="3" t="s">
        <v>0</v>
      </c>
      <c r="AG386" s="3" t="s">
        <v>49</v>
      </c>
    </row>
    <row r="387" spans="1:33" ht="153" x14ac:dyDescent="0.2">
      <c r="A387" s="5" t="str">
        <f>HYPERLINK("http://www.patentics.cn/invokexml.do?sf=ShowPatent&amp;spn=US9292832&amp;sv=c59bc0497853a82d9c78557c864185d6","US9292832")</f>
        <v>US9292832</v>
      </c>
      <c r="B387" s="3" t="s">
        <v>1710</v>
      </c>
      <c r="C387" s="3" t="s">
        <v>1711</v>
      </c>
      <c r="D387" s="3" t="s">
        <v>52</v>
      </c>
      <c r="E387" s="3" t="s">
        <v>52</v>
      </c>
      <c r="F387" s="3" t="s">
        <v>1712</v>
      </c>
      <c r="G387" s="3" t="s">
        <v>1713</v>
      </c>
      <c r="H387" s="3" t="s">
        <v>1714</v>
      </c>
      <c r="I387" s="3" t="s">
        <v>1715</v>
      </c>
      <c r="J387" s="3" t="s">
        <v>696</v>
      </c>
      <c r="K387" s="3" t="s">
        <v>1716</v>
      </c>
      <c r="L387" s="3" t="s">
        <v>1717</v>
      </c>
      <c r="M387" s="3" t="s">
        <v>1718</v>
      </c>
      <c r="N387" s="3" t="s">
        <v>1719</v>
      </c>
      <c r="O387" s="3">
        <v>0</v>
      </c>
      <c r="P387" s="3">
        <v>10</v>
      </c>
      <c r="Q387" s="3" t="s">
        <v>60</v>
      </c>
      <c r="R387" s="3" t="s">
        <v>61</v>
      </c>
      <c r="S387" s="3">
        <v>9</v>
      </c>
      <c r="T387" s="3">
        <v>0</v>
      </c>
      <c r="U387" s="3">
        <v>9</v>
      </c>
      <c r="V387" s="3">
        <v>7</v>
      </c>
      <c r="W387" s="3">
        <v>0</v>
      </c>
      <c r="X387" s="3" t="s">
        <v>147</v>
      </c>
      <c r="Y387" s="3">
        <v>0</v>
      </c>
      <c r="Z387" s="3">
        <v>0</v>
      </c>
      <c r="AA387" s="3">
        <v>0</v>
      </c>
      <c r="AB387" s="3">
        <v>0</v>
      </c>
      <c r="AC387" s="3">
        <v>5</v>
      </c>
      <c r="AD387" s="3">
        <v>5</v>
      </c>
      <c r="AE387" s="3">
        <v>14</v>
      </c>
      <c r="AF387" s="3" t="s">
        <v>0</v>
      </c>
      <c r="AG387" s="3" t="s">
        <v>49</v>
      </c>
    </row>
    <row r="388" spans="1:33" ht="76.5" x14ac:dyDescent="0.2">
      <c r="A388" s="5" t="str">
        <f>HYPERLINK("http://www.patentics.cn/invokexml.do?sf=ShowPatent&amp;spn=WO2014026115&amp;sv=dc54f51a89b503e80e12203e566cc503","WO2014026115")</f>
        <v>WO2014026115</v>
      </c>
      <c r="B388" s="3" t="s">
        <v>1720</v>
      </c>
      <c r="C388" s="3" t="s">
        <v>1705</v>
      </c>
      <c r="D388" s="3" t="s">
        <v>52</v>
      </c>
      <c r="E388" s="3" t="s">
        <v>52</v>
      </c>
      <c r="F388" s="3" t="s">
        <v>1721</v>
      </c>
      <c r="G388" s="3" t="s">
        <v>1722</v>
      </c>
      <c r="H388" s="3" t="s">
        <v>1708</v>
      </c>
      <c r="I388" s="3" t="s">
        <v>1723</v>
      </c>
      <c r="J388" s="3" t="s">
        <v>1724</v>
      </c>
      <c r="K388" s="3" t="s">
        <v>58</v>
      </c>
      <c r="L388" s="3" t="s">
        <v>289</v>
      </c>
      <c r="M388" s="3" t="s">
        <v>0</v>
      </c>
      <c r="N388" s="3" t="s">
        <v>0</v>
      </c>
      <c r="O388" s="3">
        <v>53</v>
      </c>
      <c r="P388" s="3">
        <v>11</v>
      </c>
      <c r="Q388" s="3" t="s">
        <v>352</v>
      </c>
      <c r="R388" s="3" t="s">
        <v>61</v>
      </c>
      <c r="S388" s="3">
        <v>4</v>
      </c>
      <c r="T388" s="3">
        <v>0</v>
      </c>
      <c r="U388" s="3">
        <v>4</v>
      </c>
      <c r="V388" s="3">
        <v>3</v>
      </c>
      <c r="W388" s="3">
        <v>0</v>
      </c>
      <c r="X388" s="3" t="s">
        <v>147</v>
      </c>
      <c r="Y388" s="3">
        <v>0</v>
      </c>
      <c r="Z388" s="3">
        <v>0</v>
      </c>
      <c r="AA388" s="3">
        <v>0</v>
      </c>
      <c r="AB388" s="3">
        <v>0</v>
      </c>
      <c r="AC388" s="3">
        <v>5</v>
      </c>
      <c r="AD388" s="3">
        <v>5</v>
      </c>
      <c r="AE388" s="3">
        <v>14</v>
      </c>
      <c r="AF388" s="3" t="s">
        <v>0</v>
      </c>
      <c r="AG388" s="3" t="s">
        <v>0</v>
      </c>
    </row>
    <row r="389" spans="1:33" ht="127.5" x14ac:dyDescent="0.2">
      <c r="A389" s="5" t="str">
        <f>HYPERLINK("http://www.patentics.cn/invokexml.do?sf=ShowPatent&amp;spn=WO2014131015&amp;sv=212531368022e3be01402c3840abe780","WO2014131015")</f>
        <v>WO2014131015</v>
      </c>
      <c r="B389" s="3" t="s">
        <v>1725</v>
      </c>
      <c r="C389" s="3" t="s">
        <v>1726</v>
      </c>
      <c r="D389" s="3" t="s">
        <v>52</v>
      </c>
      <c r="E389" s="3" t="s">
        <v>52</v>
      </c>
      <c r="F389" s="3" t="s">
        <v>1727</v>
      </c>
      <c r="G389" s="3" t="s">
        <v>1728</v>
      </c>
      <c r="H389" s="3" t="s">
        <v>1714</v>
      </c>
      <c r="I389" s="3" t="s">
        <v>1729</v>
      </c>
      <c r="J389" s="3" t="s">
        <v>1730</v>
      </c>
      <c r="K389" s="3" t="s">
        <v>0</v>
      </c>
      <c r="L389" s="3" t="s">
        <v>0</v>
      </c>
      <c r="M389" s="3" t="s">
        <v>0</v>
      </c>
      <c r="N389" s="3" t="s">
        <v>0</v>
      </c>
      <c r="O389" s="3">
        <v>25</v>
      </c>
      <c r="P389" s="3">
        <v>12</v>
      </c>
      <c r="Q389" s="3" t="s">
        <v>352</v>
      </c>
      <c r="R389" s="3" t="s">
        <v>61</v>
      </c>
      <c r="S389" s="3">
        <v>6</v>
      </c>
      <c r="T389" s="3">
        <v>0</v>
      </c>
      <c r="U389" s="3">
        <v>6</v>
      </c>
      <c r="V389" s="3">
        <v>5</v>
      </c>
      <c r="W389" s="3">
        <v>0</v>
      </c>
      <c r="X389" s="3" t="s">
        <v>147</v>
      </c>
      <c r="Y389" s="3">
        <v>0</v>
      </c>
      <c r="Z389" s="3">
        <v>0</v>
      </c>
      <c r="AA389" s="3">
        <v>0</v>
      </c>
      <c r="AB389" s="3">
        <v>0</v>
      </c>
      <c r="AC389" s="3">
        <v>5</v>
      </c>
      <c r="AD389" s="3">
        <v>5</v>
      </c>
      <c r="AE389" s="3">
        <v>14</v>
      </c>
      <c r="AF389" s="3" t="s">
        <v>0</v>
      </c>
      <c r="AG389" s="3" t="s">
        <v>0</v>
      </c>
    </row>
    <row r="390" spans="1:33" ht="102" x14ac:dyDescent="0.2">
      <c r="A390" s="5" t="str">
        <f>HYPERLINK("http://www.patentics.cn/invokexml.do?sf=ShowPatent&amp;spn=WO2014131021&amp;sv=c59063386a614d0e2ef305be7f3ba2d9","WO2014131021")</f>
        <v>WO2014131021</v>
      </c>
      <c r="B390" s="3" t="s">
        <v>1731</v>
      </c>
      <c r="C390" s="3" t="s">
        <v>1732</v>
      </c>
      <c r="D390" s="3" t="s">
        <v>52</v>
      </c>
      <c r="E390" s="3" t="s">
        <v>52</v>
      </c>
      <c r="F390" s="3" t="s">
        <v>1733</v>
      </c>
      <c r="G390" s="3" t="s">
        <v>1734</v>
      </c>
      <c r="H390" s="3" t="s">
        <v>1714</v>
      </c>
      <c r="I390" s="3" t="s">
        <v>1729</v>
      </c>
      <c r="J390" s="3" t="s">
        <v>1730</v>
      </c>
      <c r="K390" s="3" t="s">
        <v>58</v>
      </c>
      <c r="L390" s="3" t="s">
        <v>289</v>
      </c>
      <c r="M390" s="3" t="s">
        <v>0</v>
      </c>
      <c r="N390" s="3" t="s">
        <v>0</v>
      </c>
      <c r="O390" s="3">
        <v>60</v>
      </c>
      <c r="P390" s="3">
        <v>8</v>
      </c>
      <c r="Q390" s="3" t="s">
        <v>352</v>
      </c>
      <c r="R390" s="3" t="s">
        <v>61</v>
      </c>
      <c r="S390" s="3">
        <v>2</v>
      </c>
      <c r="T390" s="3">
        <v>0</v>
      </c>
      <c r="U390" s="3">
        <v>2</v>
      </c>
      <c r="V390" s="3">
        <v>2</v>
      </c>
      <c r="W390" s="3">
        <v>1</v>
      </c>
      <c r="X390" s="3" t="s">
        <v>403</v>
      </c>
      <c r="Y390" s="3">
        <v>0</v>
      </c>
      <c r="Z390" s="3">
        <v>1</v>
      </c>
      <c r="AA390" s="3">
        <v>1</v>
      </c>
      <c r="AB390" s="3">
        <v>1</v>
      </c>
      <c r="AC390" s="3">
        <v>5</v>
      </c>
      <c r="AD390" s="3">
        <v>6</v>
      </c>
      <c r="AE390" s="3">
        <v>14</v>
      </c>
      <c r="AF390" s="3" t="s">
        <v>0</v>
      </c>
      <c r="AG390" s="3" t="s">
        <v>0</v>
      </c>
    </row>
    <row r="391" spans="1:33" ht="153" x14ac:dyDescent="0.2">
      <c r="A391" s="5" t="str">
        <f>HYPERLINK("http://www.patentics.cn/invokexml.do?sf=ShowPatent&amp;spn=WO2014131015A3&amp;sv=11fe994ce1c718e784aa61f05c0d7a08","WO2014131015A3")</f>
        <v>WO2014131015A3</v>
      </c>
      <c r="B391" s="3" t="s">
        <v>1735</v>
      </c>
      <c r="C391" s="3" t="s">
        <v>1736</v>
      </c>
      <c r="D391" s="3" t="s">
        <v>52</v>
      </c>
      <c r="E391" s="3" t="s">
        <v>52</v>
      </c>
      <c r="F391" s="3" t="s">
        <v>1737</v>
      </c>
      <c r="G391" s="3" t="s">
        <v>1738</v>
      </c>
      <c r="H391" s="3" t="s">
        <v>1714</v>
      </c>
      <c r="I391" s="3" t="s">
        <v>1714</v>
      </c>
      <c r="J391" s="3" t="s">
        <v>1739</v>
      </c>
      <c r="K391" s="3" t="s">
        <v>1716</v>
      </c>
      <c r="L391" s="3" t="s">
        <v>1740</v>
      </c>
      <c r="M391" s="3" t="s">
        <v>1716</v>
      </c>
      <c r="N391" s="3" t="s">
        <v>1716</v>
      </c>
      <c r="O391" s="3">
        <v>0</v>
      </c>
      <c r="P391" s="3">
        <v>0</v>
      </c>
      <c r="Q391" s="3" t="s">
        <v>352</v>
      </c>
      <c r="R391" s="3" t="s">
        <v>1387</v>
      </c>
      <c r="S391" s="3">
        <v>6</v>
      </c>
      <c r="T391" s="3">
        <v>0</v>
      </c>
      <c r="U391" s="3">
        <v>6</v>
      </c>
      <c r="V391" s="3">
        <v>5</v>
      </c>
      <c r="W391" s="3">
        <v>0</v>
      </c>
      <c r="X391" s="3" t="s">
        <v>147</v>
      </c>
      <c r="Y391" s="3">
        <v>0</v>
      </c>
      <c r="Z391" s="3">
        <v>0</v>
      </c>
      <c r="AA391" s="3">
        <v>0</v>
      </c>
      <c r="AB391" s="3">
        <v>0</v>
      </c>
      <c r="AC391" s="3">
        <v>0</v>
      </c>
      <c r="AD391" s="3">
        <v>0</v>
      </c>
      <c r="AE391" s="3">
        <v>14</v>
      </c>
      <c r="AF391" s="3" t="s">
        <v>0</v>
      </c>
      <c r="AG391" s="3" t="s">
        <v>0</v>
      </c>
    </row>
    <row r="392" spans="1:33" ht="38.25" x14ac:dyDescent="0.2">
      <c r="A392" s="4" t="str">
        <f>HYPERLINK("http://www.patentics.cn/invokexml.do?sf=ShowPatent&amp;spn=WO2011047566&amp;sv=9a5840c76b76a29b3ed0cde002b283ff","WO2011047566")</f>
        <v>WO2011047566</v>
      </c>
      <c r="B392" s="2" t="s">
        <v>1741</v>
      </c>
      <c r="C392" s="2" t="s">
        <v>1742</v>
      </c>
      <c r="D392" s="2" t="s">
        <v>1743</v>
      </c>
      <c r="E392" s="2" t="s">
        <v>1743</v>
      </c>
      <c r="F392" s="2" t="s">
        <v>1744</v>
      </c>
      <c r="G392" s="2" t="s">
        <v>1745</v>
      </c>
      <c r="H392" s="2" t="s">
        <v>1746</v>
      </c>
      <c r="I392" s="2" t="s">
        <v>1747</v>
      </c>
      <c r="J392" s="2" t="s">
        <v>1748</v>
      </c>
      <c r="K392" s="2" t="s">
        <v>82</v>
      </c>
      <c r="L392" s="2" t="s">
        <v>1749</v>
      </c>
      <c r="M392" s="2" t="s">
        <v>0</v>
      </c>
      <c r="N392" s="2" t="s">
        <v>0</v>
      </c>
      <c r="O392" s="2">
        <v>8</v>
      </c>
      <c r="P392" s="2">
        <v>13</v>
      </c>
      <c r="Q392" s="2" t="s">
        <v>352</v>
      </c>
      <c r="R392" s="2" t="s">
        <v>47</v>
      </c>
      <c r="S392" s="2">
        <v>4</v>
      </c>
      <c r="T392" s="2">
        <v>1</v>
      </c>
      <c r="U392" s="2">
        <v>3</v>
      </c>
      <c r="V392" s="2">
        <v>2</v>
      </c>
      <c r="W392" s="2">
        <v>8</v>
      </c>
      <c r="X392" s="2" t="s">
        <v>1750</v>
      </c>
      <c r="Y392" s="2">
        <v>0</v>
      </c>
      <c r="Z392" s="2">
        <v>8</v>
      </c>
      <c r="AA392" s="2">
        <v>1</v>
      </c>
      <c r="AB392" s="2">
        <v>5</v>
      </c>
      <c r="AC392" s="2">
        <v>4</v>
      </c>
      <c r="AD392" s="2">
        <v>3</v>
      </c>
      <c r="AE392" s="2" t="s">
        <v>0</v>
      </c>
      <c r="AF392" s="2">
        <v>7</v>
      </c>
      <c r="AG392" s="2" t="s">
        <v>0</v>
      </c>
    </row>
    <row r="393" spans="1:33" ht="216.75" x14ac:dyDescent="0.2">
      <c r="A393" s="5" t="str">
        <f>HYPERLINK("http://www.patentics.cn/invokexml.do?sf=ShowPatent&amp;spn=US8787262&amp;sv=85c60b3dbf1b31465d74a836fe70ed47","US8787262")</f>
        <v>US8787262</v>
      </c>
      <c r="B393" s="3" t="s">
        <v>1751</v>
      </c>
      <c r="C393" s="3" t="s">
        <v>1752</v>
      </c>
      <c r="D393" s="3" t="s">
        <v>52</v>
      </c>
      <c r="E393" s="3" t="s">
        <v>52</v>
      </c>
      <c r="F393" s="3" t="s">
        <v>1753</v>
      </c>
      <c r="G393" s="3" t="s">
        <v>1470</v>
      </c>
      <c r="H393" s="3" t="s">
        <v>1754</v>
      </c>
      <c r="I393" s="3" t="s">
        <v>1755</v>
      </c>
      <c r="J393" s="3" t="s">
        <v>169</v>
      </c>
      <c r="K393" s="3" t="s">
        <v>82</v>
      </c>
      <c r="L393" s="3" t="s">
        <v>83</v>
      </c>
      <c r="M393" s="3" t="s">
        <v>82</v>
      </c>
      <c r="N393" s="3" t="s">
        <v>1649</v>
      </c>
      <c r="O393" s="3">
        <v>0</v>
      </c>
      <c r="P393" s="3">
        <v>8</v>
      </c>
      <c r="Q393" s="3" t="s">
        <v>60</v>
      </c>
      <c r="R393" s="3" t="s">
        <v>61</v>
      </c>
      <c r="S393" s="3">
        <v>12</v>
      </c>
      <c r="T393" s="3">
        <v>1</v>
      </c>
      <c r="U393" s="3">
        <v>11</v>
      </c>
      <c r="V393" s="3">
        <v>8</v>
      </c>
      <c r="W393" s="3">
        <v>3</v>
      </c>
      <c r="X393" s="3" t="s">
        <v>1756</v>
      </c>
      <c r="Y393" s="3">
        <v>3</v>
      </c>
      <c r="Z393" s="3">
        <v>0</v>
      </c>
      <c r="AA393" s="3">
        <v>1</v>
      </c>
      <c r="AB393" s="3">
        <v>1</v>
      </c>
      <c r="AC393" s="3">
        <v>27</v>
      </c>
      <c r="AD393" s="3">
        <v>9</v>
      </c>
      <c r="AE393" s="3">
        <v>14</v>
      </c>
      <c r="AF393" s="3" t="s">
        <v>0</v>
      </c>
      <c r="AG393" s="3" t="s">
        <v>49</v>
      </c>
    </row>
    <row r="394" spans="1:33" ht="216.75" x14ac:dyDescent="0.2">
      <c r="A394" s="5" t="str">
        <f>HYPERLINK("http://www.patentics.cn/invokexml.do?sf=ShowPatent&amp;spn=US8953515&amp;sv=7f30688035798a70cd49a9a61bab7005","US8953515")</f>
        <v>US8953515</v>
      </c>
      <c r="B394" s="3" t="s">
        <v>1757</v>
      </c>
      <c r="C394" s="3" t="s">
        <v>1752</v>
      </c>
      <c r="D394" s="3" t="s">
        <v>52</v>
      </c>
      <c r="E394" s="3" t="s">
        <v>52</v>
      </c>
      <c r="F394" s="3" t="s">
        <v>1753</v>
      </c>
      <c r="G394" s="3" t="s">
        <v>1470</v>
      </c>
      <c r="H394" s="3" t="s">
        <v>1754</v>
      </c>
      <c r="I394" s="3" t="s">
        <v>1031</v>
      </c>
      <c r="J394" s="3" t="s">
        <v>1070</v>
      </c>
      <c r="K394" s="3" t="s">
        <v>82</v>
      </c>
      <c r="L394" s="3" t="s">
        <v>83</v>
      </c>
      <c r="M394" s="3" t="s">
        <v>82</v>
      </c>
      <c r="N394" s="3" t="s">
        <v>1649</v>
      </c>
      <c r="O394" s="3">
        <v>0</v>
      </c>
      <c r="P394" s="3">
        <v>9</v>
      </c>
      <c r="Q394" s="3" t="s">
        <v>60</v>
      </c>
      <c r="R394" s="3" t="s">
        <v>61</v>
      </c>
      <c r="S394" s="3">
        <v>30</v>
      </c>
      <c r="T394" s="3">
        <v>4</v>
      </c>
      <c r="U394" s="3">
        <v>26</v>
      </c>
      <c r="V394" s="3">
        <v>18</v>
      </c>
      <c r="W394" s="3">
        <v>1</v>
      </c>
      <c r="X394" s="3" t="s">
        <v>108</v>
      </c>
      <c r="Y394" s="3">
        <v>1</v>
      </c>
      <c r="Z394" s="3">
        <v>0</v>
      </c>
      <c r="AA394" s="3">
        <v>1</v>
      </c>
      <c r="AB394" s="3">
        <v>1</v>
      </c>
      <c r="AC394" s="3">
        <v>27</v>
      </c>
      <c r="AD394" s="3">
        <v>9</v>
      </c>
      <c r="AE394" s="3">
        <v>14</v>
      </c>
      <c r="AF394" s="3" t="s">
        <v>0</v>
      </c>
      <c r="AG394" s="3" t="s">
        <v>49</v>
      </c>
    </row>
    <row r="395" spans="1:33" ht="216.75" x14ac:dyDescent="0.2">
      <c r="A395" s="5" t="str">
        <f>HYPERLINK("http://www.patentics.cn/invokexml.do?sf=ShowPatent&amp;spn=US8989104&amp;sv=425653b5eda9dfe959efaeb82a257cfc","US8989104")</f>
        <v>US8989104</v>
      </c>
      <c r="B395" s="3" t="s">
        <v>1758</v>
      </c>
      <c r="C395" s="3" t="s">
        <v>1752</v>
      </c>
      <c r="D395" s="3" t="s">
        <v>52</v>
      </c>
      <c r="E395" s="3" t="s">
        <v>52</v>
      </c>
      <c r="F395" s="3" t="s">
        <v>1753</v>
      </c>
      <c r="G395" s="3" t="s">
        <v>1470</v>
      </c>
      <c r="H395" s="3" t="s">
        <v>1754</v>
      </c>
      <c r="I395" s="3" t="s">
        <v>169</v>
      </c>
      <c r="J395" s="3" t="s">
        <v>812</v>
      </c>
      <c r="K395" s="3" t="s">
        <v>82</v>
      </c>
      <c r="L395" s="3" t="s">
        <v>83</v>
      </c>
      <c r="M395" s="3" t="s">
        <v>82</v>
      </c>
      <c r="N395" s="3" t="s">
        <v>1649</v>
      </c>
      <c r="O395" s="3">
        <v>0</v>
      </c>
      <c r="P395" s="3">
        <v>8</v>
      </c>
      <c r="Q395" s="3" t="s">
        <v>60</v>
      </c>
      <c r="R395" s="3" t="s">
        <v>61</v>
      </c>
      <c r="S395" s="3">
        <v>39</v>
      </c>
      <c r="T395" s="3">
        <v>6</v>
      </c>
      <c r="U395" s="3">
        <v>33</v>
      </c>
      <c r="V395" s="3">
        <v>21</v>
      </c>
      <c r="W395" s="3">
        <v>1</v>
      </c>
      <c r="X395" s="3" t="s">
        <v>108</v>
      </c>
      <c r="Y395" s="3">
        <v>1</v>
      </c>
      <c r="Z395" s="3">
        <v>0</v>
      </c>
      <c r="AA395" s="3">
        <v>1</v>
      </c>
      <c r="AB395" s="3">
        <v>1</v>
      </c>
      <c r="AC395" s="3">
        <v>27</v>
      </c>
      <c r="AD395" s="3">
        <v>9</v>
      </c>
      <c r="AE395" s="3">
        <v>14</v>
      </c>
      <c r="AF395" s="3" t="s">
        <v>0</v>
      </c>
      <c r="AG395" s="3" t="s">
        <v>49</v>
      </c>
    </row>
    <row r="396" spans="1:33" ht="216.75" x14ac:dyDescent="0.2">
      <c r="A396" s="5" t="str">
        <f>HYPERLINK("http://www.patentics.cn/invokexml.do?sf=ShowPatent&amp;spn=US9148872&amp;sv=c64ddc0c82db62ca6008d5b6a63b8f17","US9148872")</f>
        <v>US9148872</v>
      </c>
      <c r="B396" s="3" t="s">
        <v>1759</v>
      </c>
      <c r="C396" s="3" t="s">
        <v>1752</v>
      </c>
      <c r="D396" s="3" t="s">
        <v>52</v>
      </c>
      <c r="E396" s="3" t="s">
        <v>52</v>
      </c>
      <c r="F396" s="3" t="s">
        <v>1753</v>
      </c>
      <c r="G396" s="3" t="s">
        <v>1470</v>
      </c>
      <c r="H396" s="3" t="s">
        <v>1754</v>
      </c>
      <c r="I396" s="3" t="s">
        <v>1760</v>
      </c>
      <c r="J396" s="3" t="s">
        <v>248</v>
      </c>
      <c r="K396" s="3" t="s">
        <v>82</v>
      </c>
      <c r="L396" s="3" t="s">
        <v>83</v>
      </c>
      <c r="M396" s="3" t="s">
        <v>82</v>
      </c>
      <c r="N396" s="3" t="s">
        <v>1420</v>
      </c>
      <c r="O396" s="3">
        <v>0</v>
      </c>
      <c r="P396" s="3">
        <v>7</v>
      </c>
      <c r="Q396" s="3" t="s">
        <v>60</v>
      </c>
      <c r="R396" s="3" t="s">
        <v>61</v>
      </c>
      <c r="S396" s="3">
        <v>53</v>
      </c>
      <c r="T396" s="3">
        <v>8</v>
      </c>
      <c r="U396" s="3">
        <v>45</v>
      </c>
      <c r="V396" s="3">
        <v>25</v>
      </c>
      <c r="W396" s="3">
        <v>0</v>
      </c>
      <c r="X396" s="3" t="s">
        <v>147</v>
      </c>
      <c r="Y396" s="3">
        <v>0</v>
      </c>
      <c r="Z396" s="3">
        <v>0</v>
      </c>
      <c r="AA396" s="3">
        <v>0</v>
      </c>
      <c r="AB396" s="3">
        <v>0</v>
      </c>
      <c r="AC396" s="3">
        <v>27</v>
      </c>
      <c r="AD396" s="3">
        <v>9</v>
      </c>
      <c r="AE396" s="3">
        <v>14</v>
      </c>
      <c r="AF396" s="3" t="s">
        <v>0</v>
      </c>
      <c r="AG396" s="3" t="s">
        <v>49</v>
      </c>
    </row>
    <row r="397" spans="1:33" ht="178.5" x14ac:dyDescent="0.2">
      <c r="A397" s="5" t="str">
        <f>HYPERLINK("http://www.patentics.cn/invokexml.do?sf=ShowPatent&amp;spn=EP2824947&amp;sv=22a3af366fa0fea7ffc8cdb5d2574f48","EP2824947")</f>
        <v>EP2824947</v>
      </c>
      <c r="B397" s="3" t="s">
        <v>1761</v>
      </c>
      <c r="C397" s="3" t="s">
        <v>1762</v>
      </c>
      <c r="D397" s="3" t="s">
        <v>52</v>
      </c>
      <c r="E397" s="3" t="s">
        <v>52</v>
      </c>
      <c r="F397" s="3" t="s">
        <v>1763</v>
      </c>
      <c r="G397" s="3" t="s">
        <v>1764</v>
      </c>
      <c r="H397" s="3" t="s">
        <v>1754</v>
      </c>
      <c r="I397" s="3" t="s">
        <v>1765</v>
      </c>
      <c r="J397" s="3" t="s">
        <v>1766</v>
      </c>
      <c r="K397" s="3" t="s">
        <v>82</v>
      </c>
      <c r="L397" s="3" t="s">
        <v>1767</v>
      </c>
      <c r="M397" s="3" t="s">
        <v>82</v>
      </c>
      <c r="N397" s="3" t="s">
        <v>1649</v>
      </c>
      <c r="O397" s="3">
        <v>13</v>
      </c>
      <c r="P397" s="3">
        <v>9</v>
      </c>
      <c r="Q397" s="3" t="s">
        <v>352</v>
      </c>
      <c r="R397" s="3" t="s">
        <v>61</v>
      </c>
      <c r="S397" s="3">
        <v>1</v>
      </c>
      <c r="T397" s="3">
        <v>0</v>
      </c>
      <c r="U397" s="3">
        <v>1</v>
      </c>
      <c r="V397" s="3">
        <v>1</v>
      </c>
      <c r="W397" s="3">
        <v>0</v>
      </c>
      <c r="X397" s="3" t="s">
        <v>147</v>
      </c>
      <c r="Y397" s="3">
        <v>0</v>
      </c>
      <c r="Z397" s="3">
        <v>0</v>
      </c>
      <c r="AA397" s="3">
        <v>0</v>
      </c>
      <c r="AB397" s="3">
        <v>0</v>
      </c>
      <c r="AC397" s="3">
        <v>27</v>
      </c>
      <c r="AD397" s="3">
        <v>9</v>
      </c>
      <c r="AE397" s="3">
        <v>14</v>
      </c>
      <c r="AF397" s="3" t="s">
        <v>0</v>
      </c>
      <c r="AG397" s="3" t="s">
        <v>0</v>
      </c>
    </row>
    <row r="398" spans="1:33" ht="191.25" x14ac:dyDescent="0.2">
      <c r="A398" s="5" t="str">
        <f>HYPERLINK("http://www.patentics.cn/invokexml.do?sf=ShowPatent&amp;spn=WO2013012742&amp;sv=1d8c0eb83c56a06ed17bfaa1fa741efb","WO2013012742")</f>
        <v>WO2013012742</v>
      </c>
      <c r="B398" s="3" t="s">
        <v>1768</v>
      </c>
      <c r="C398" s="3" t="s">
        <v>1769</v>
      </c>
      <c r="D398" s="3" t="s">
        <v>1770</v>
      </c>
      <c r="E398" s="3" t="s">
        <v>1771</v>
      </c>
      <c r="F398" s="3" t="s">
        <v>1772</v>
      </c>
      <c r="G398" s="3" t="s">
        <v>1498</v>
      </c>
      <c r="H398" s="3" t="s">
        <v>1754</v>
      </c>
      <c r="I398" s="3" t="s">
        <v>1765</v>
      </c>
      <c r="J398" s="3" t="s">
        <v>1773</v>
      </c>
      <c r="K398" s="3" t="s">
        <v>82</v>
      </c>
      <c r="L398" s="3" t="s">
        <v>1767</v>
      </c>
      <c r="M398" s="3" t="s">
        <v>0</v>
      </c>
      <c r="N398" s="3" t="s">
        <v>0</v>
      </c>
      <c r="O398" s="3">
        <v>52</v>
      </c>
      <c r="P398" s="3">
        <v>9</v>
      </c>
      <c r="Q398" s="3" t="s">
        <v>352</v>
      </c>
      <c r="R398" s="3" t="s">
        <v>61</v>
      </c>
      <c r="S398" s="3">
        <v>3</v>
      </c>
      <c r="T398" s="3">
        <v>0</v>
      </c>
      <c r="U398" s="3">
        <v>3</v>
      </c>
      <c r="V398" s="3">
        <v>2</v>
      </c>
      <c r="W398" s="3">
        <v>1</v>
      </c>
      <c r="X398" s="3" t="s">
        <v>1061</v>
      </c>
      <c r="Y398" s="3">
        <v>1</v>
      </c>
      <c r="Z398" s="3">
        <v>0</v>
      </c>
      <c r="AA398" s="3">
        <v>1</v>
      </c>
      <c r="AB398" s="3">
        <v>1</v>
      </c>
      <c r="AC398" s="3">
        <v>27</v>
      </c>
      <c r="AD398" s="3">
        <v>9</v>
      </c>
      <c r="AE398" s="3">
        <v>14</v>
      </c>
      <c r="AF398" s="3" t="s">
        <v>0</v>
      </c>
      <c r="AG398" s="3" t="s">
        <v>0</v>
      </c>
    </row>
    <row r="399" spans="1:33" ht="140.25" x14ac:dyDescent="0.2">
      <c r="A399" s="5" t="str">
        <f>HYPERLINK("http://www.patentics.cn/invokexml.do?sf=ShowPatent&amp;spn=TWI463850&amp;sv=c3f03a6cf35b284c2ca66c8bc117f938","TWI463850")</f>
        <v>TWI463850</v>
      </c>
      <c r="B399" s="3" t="s">
        <v>1774</v>
      </c>
      <c r="C399" s="3" t="s">
        <v>1775</v>
      </c>
      <c r="D399" s="3" t="s">
        <v>992</v>
      </c>
      <c r="E399" s="3" t="s">
        <v>338</v>
      </c>
      <c r="F399" s="3" t="s">
        <v>1776</v>
      </c>
      <c r="G399" s="3" t="s">
        <v>1777</v>
      </c>
      <c r="H399" s="3" t="s">
        <v>1754</v>
      </c>
      <c r="I399" s="3" t="s">
        <v>1765</v>
      </c>
      <c r="J399" s="3" t="s">
        <v>1778</v>
      </c>
      <c r="K399" s="3" t="s">
        <v>58</v>
      </c>
      <c r="L399" s="3" t="s">
        <v>1779</v>
      </c>
      <c r="M399" s="3" t="s">
        <v>0</v>
      </c>
      <c r="N399" s="3" t="s">
        <v>0</v>
      </c>
      <c r="O399" s="3">
        <v>25</v>
      </c>
      <c r="P399" s="3">
        <v>16</v>
      </c>
      <c r="Q399" s="3" t="s">
        <v>60</v>
      </c>
      <c r="R399" s="3" t="s">
        <v>61</v>
      </c>
      <c r="S399" s="3">
        <v>3</v>
      </c>
      <c r="T399" s="3">
        <v>0</v>
      </c>
      <c r="U399" s="3">
        <v>3</v>
      </c>
      <c r="V399" s="3">
        <v>3</v>
      </c>
      <c r="W399" s="3">
        <v>0</v>
      </c>
      <c r="X399" s="3" t="s">
        <v>147</v>
      </c>
      <c r="Y399" s="3">
        <v>0</v>
      </c>
      <c r="Z399" s="3">
        <v>0</v>
      </c>
      <c r="AA399" s="3">
        <v>0</v>
      </c>
      <c r="AB399" s="3">
        <v>0</v>
      </c>
      <c r="AC399" s="3">
        <v>27</v>
      </c>
      <c r="AD399" s="3">
        <v>9</v>
      </c>
      <c r="AE399" s="3">
        <v>14</v>
      </c>
      <c r="AF399" s="3" t="s">
        <v>0</v>
      </c>
      <c r="AG399" s="3" t="s">
        <v>0</v>
      </c>
    </row>
    <row r="400" spans="1:33" x14ac:dyDescent="0.2">
      <c r="A400" s="4" t="str">
        <f>HYPERLINK("http://www.patentics.cn/invokexml.do?sf=ShowPatent&amp;spn=CN200966070&amp;sv=e4987ed4262e2f469e115ea880702fc7","CN200966070")</f>
        <v>CN200966070</v>
      </c>
      <c r="B400" s="2" t="s">
        <v>1780</v>
      </c>
      <c r="C400" s="2" t="s">
        <v>1781</v>
      </c>
      <c r="D400" s="2" t="s">
        <v>38</v>
      </c>
      <c r="E400" s="2" t="s">
        <v>38</v>
      </c>
      <c r="F400" s="2" t="s">
        <v>1782</v>
      </c>
      <c r="G400" s="2" t="s">
        <v>1782</v>
      </c>
      <c r="H400" s="2" t="s">
        <v>0</v>
      </c>
      <c r="I400" s="2" t="s">
        <v>1783</v>
      </c>
      <c r="J400" s="2" t="s">
        <v>1361</v>
      </c>
      <c r="K400" s="2" t="s">
        <v>58</v>
      </c>
      <c r="L400" s="2" t="s">
        <v>1784</v>
      </c>
      <c r="M400" s="2" t="s">
        <v>58</v>
      </c>
      <c r="N400" s="2" t="s">
        <v>1785</v>
      </c>
      <c r="O400" s="2">
        <v>6</v>
      </c>
      <c r="P400" s="2">
        <v>14</v>
      </c>
      <c r="Q400" s="2" t="s">
        <v>1786</v>
      </c>
      <c r="R400" s="2" t="s">
        <v>47</v>
      </c>
      <c r="S400" s="2">
        <v>0</v>
      </c>
      <c r="T400" s="2">
        <v>0</v>
      </c>
      <c r="U400" s="2">
        <v>0</v>
      </c>
      <c r="V400" s="2">
        <v>0</v>
      </c>
      <c r="W400" s="2">
        <v>11</v>
      </c>
      <c r="X400" s="2" t="s">
        <v>1787</v>
      </c>
      <c r="Y400" s="2">
        <v>3</v>
      </c>
      <c r="Z400" s="2">
        <v>8</v>
      </c>
      <c r="AA400" s="2">
        <v>3</v>
      </c>
      <c r="AB400" s="2">
        <v>3</v>
      </c>
      <c r="AC400" s="2">
        <v>0</v>
      </c>
      <c r="AD400" s="2">
        <v>0</v>
      </c>
      <c r="AE400" s="2" t="s">
        <v>0</v>
      </c>
      <c r="AF400" s="2">
        <v>7</v>
      </c>
      <c r="AG400" s="2" t="s">
        <v>755</v>
      </c>
    </row>
    <row r="401" spans="1:33" ht="25.5" x14ac:dyDescent="0.2">
      <c r="A401" s="5" t="str">
        <f>HYPERLINK("http://www.patentics.cn/invokexml.do?sf=ShowPatent&amp;spn=US8478360&amp;sv=bfcc6f22813eebfe06568cd8498da206","US8478360")</f>
        <v>US8478360</v>
      </c>
      <c r="B401" s="3" t="s">
        <v>1788</v>
      </c>
      <c r="C401" s="3" t="s">
        <v>1789</v>
      </c>
      <c r="D401" s="3" t="s">
        <v>52</v>
      </c>
      <c r="E401" s="3" t="s">
        <v>52</v>
      </c>
      <c r="F401" s="3" t="s">
        <v>1042</v>
      </c>
      <c r="G401" s="3" t="s">
        <v>1042</v>
      </c>
      <c r="H401" s="3" t="s">
        <v>1790</v>
      </c>
      <c r="I401" s="3" t="s">
        <v>1790</v>
      </c>
      <c r="J401" s="3" t="s">
        <v>102</v>
      </c>
      <c r="K401" s="3" t="s">
        <v>84</v>
      </c>
      <c r="L401" s="3" t="s">
        <v>1791</v>
      </c>
      <c r="M401" s="3" t="s">
        <v>82</v>
      </c>
      <c r="N401" s="3" t="s">
        <v>1287</v>
      </c>
      <c r="O401" s="3">
        <v>0</v>
      </c>
      <c r="P401" s="3">
        <v>13</v>
      </c>
      <c r="Q401" s="3" t="s">
        <v>60</v>
      </c>
      <c r="R401" s="3" t="s">
        <v>61</v>
      </c>
      <c r="S401" s="3">
        <v>47</v>
      </c>
      <c r="T401" s="3">
        <v>8</v>
      </c>
      <c r="U401" s="3">
        <v>39</v>
      </c>
      <c r="V401" s="3">
        <v>18</v>
      </c>
      <c r="W401" s="3">
        <v>10</v>
      </c>
      <c r="X401" s="3" t="s">
        <v>1792</v>
      </c>
      <c r="Y401" s="3">
        <v>7</v>
      </c>
      <c r="Z401" s="3">
        <v>3</v>
      </c>
      <c r="AA401" s="3">
        <v>3</v>
      </c>
      <c r="AB401" s="3">
        <v>2</v>
      </c>
      <c r="AC401" s="3">
        <v>13</v>
      </c>
      <c r="AD401" s="3">
        <v>7</v>
      </c>
      <c r="AE401" s="3">
        <v>14</v>
      </c>
      <c r="AF401" s="3" t="s">
        <v>0</v>
      </c>
      <c r="AG401" s="3" t="s">
        <v>49</v>
      </c>
    </row>
    <row r="402" spans="1:33" ht="140.25" x14ac:dyDescent="0.2">
      <c r="A402" s="5" t="str">
        <f>HYPERLINK("http://www.patentics.cn/invokexml.do?sf=ShowPatent&amp;spn=US8566594&amp;sv=031191cd95e60861d81097bc8b684225","US8566594")</f>
        <v>US8566594</v>
      </c>
      <c r="B402" s="3" t="s">
        <v>1793</v>
      </c>
      <c r="C402" s="3" t="s">
        <v>1794</v>
      </c>
      <c r="D402" s="3" t="s">
        <v>52</v>
      </c>
      <c r="E402" s="3" t="s">
        <v>52</v>
      </c>
      <c r="F402" s="3" t="s">
        <v>1795</v>
      </c>
      <c r="G402" s="3" t="s">
        <v>1042</v>
      </c>
      <c r="H402" s="3" t="s">
        <v>1796</v>
      </c>
      <c r="I402" s="3" t="s">
        <v>1796</v>
      </c>
      <c r="J402" s="3" t="s">
        <v>113</v>
      </c>
      <c r="K402" s="3" t="s">
        <v>555</v>
      </c>
      <c r="L402" s="3" t="s">
        <v>1797</v>
      </c>
      <c r="M402" s="3" t="s">
        <v>58</v>
      </c>
      <c r="N402" s="3" t="s">
        <v>1798</v>
      </c>
      <c r="O402" s="3">
        <v>0</v>
      </c>
      <c r="P402" s="3">
        <v>16</v>
      </c>
      <c r="Q402" s="3" t="s">
        <v>60</v>
      </c>
      <c r="R402" s="3" t="s">
        <v>61</v>
      </c>
      <c r="S402" s="3">
        <v>49</v>
      </c>
      <c r="T402" s="3">
        <v>10</v>
      </c>
      <c r="U402" s="3">
        <v>39</v>
      </c>
      <c r="V402" s="3">
        <v>18</v>
      </c>
      <c r="W402" s="3">
        <v>5</v>
      </c>
      <c r="X402" s="3" t="s">
        <v>1799</v>
      </c>
      <c r="Y402" s="3">
        <v>3</v>
      </c>
      <c r="Z402" s="3">
        <v>2</v>
      </c>
      <c r="AA402" s="3">
        <v>3</v>
      </c>
      <c r="AB402" s="3">
        <v>1</v>
      </c>
      <c r="AC402" s="3">
        <v>2</v>
      </c>
      <c r="AD402" s="3">
        <v>2</v>
      </c>
      <c r="AE402" s="3">
        <v>14</v>
      </c>
      <c r="AF402" s="3" t="s">
        <v>0</v>
      </c>
      <c r="AG402" s="3" t="s">
        <v>49</v>
      </c>
    </row>
    <row r="403" spans="1:33" ht="76.5" x14ac:dyDescent="0.2">
      <c r="A403" s="5" t="str">
        <f>HYPERLINK("http://www.patentics.cn/invokexml.do?sf=ShowPatent&amp;spn=US8639273&amp;sv=dc3d30ec7cbcfa1aec9ab1d6b4ceeb19","US8639273")</f>
        <v>US8639273</v>
      </c>
      <c r="B403" s="3" t="s">
        <v>1800</v>
      </c>
      <c r="C403" s="3" t="s">
        <v>1801</v>
      </c>
      <c r="D403" s="3" t="s">
        <v>52</v>
      </c>
      <c r="E403" s="3" t="s">
        <v>52</v>
      </c>
      <c r="F403" s="3" t="s">
        <v>1802</v>
      </c>
      <c r="G403" s="3" t="s">
        <v>1803</v>
      </c>
      <c r="H403" s="3" t="s">
        <v>1804</v>
      </c>
      <c r="I403" s="3" t="s">
        <v>1804</v>
      </c>
      <c r="J403" s="3" t="s">
        <v>892</v>
      </c>
      <c r="K403" s="3" t="s">
        <v>82</v>
      </c>
      <c r="L403" s="3" t="s">
        <v>827</v>
      </c>
      <c r="M403" s="3" t="s">
        <v>82</v>
      </c>
      <c r="N403" s="3" t="s">
        <v>1462</v>
      </c>
      <c r="O403" s="3">
        <v>0</v>
      </c>
      <c r="P403" s="3">
        <v>17</v>
      </c>
      <c r="Q403" s="3" t="s">
        <v>60</v>
      </c>
      <c r="R403" s="3" t="s">
        <v>61</v>
      </c>
      <c r="S403" s="3">
        <v>51</v>
      </c>
      <c r="T403" s="3">
        <v>9</v>
      </c>
      <c r="U403" s="3">
        <v>42</v>
      </c>
      <c r="V403" s="3">
        <v>19</v>
      </c>
      <c r="W403" s="3">
        <v>5</v>
      </c>
      <c r="X403" s="3" t="s">
        <v>1022</v>
      </c>
      <c r="Y403" s="3">
        <v>3</v>
      </c>
      <c r="Z403" s="3">
        <v>2</v>
      </c>
      <c r="AA403" s="3">
        <v>2</v>
      </c>
      <c r="AB403" s="3">
        <v>2</v>
      </c>
      <c r="AC403" s="3">
        <v>10</v>
      </c>
      <c r="AD403" s="3">
        <v>7</v>
      </c>
      <c r="AE403" s="3">
        <v>14</v>
      </c>
      <c r="AF403" s="3" t="s">
        <v>0</v>
      </c>
      <c r="AG403" s="3" t="s">
        <v>49</v>
      </c>
    </row>
    <row r="404" spans="1:33" ht="140.25" x14ac:dyDescent="0.2">
      <c r="A404" s="5" t="str">
        <f>HYPERLINK("http://www.patentics.cn/invokexml.do?sf=ShowPatent&amp;spn=US8761064&amp;sv=3cd63fc677c10c961d7f8a75072c1ae8","US8761064")</f>
        <v>US8761064</v>
      </c>
      <c r="B404" s="3" t="s">
        <v>1805</v>
      </c>
      <c r="C404" s="3" t="s">
        <v>1794</v>
      </c>
      <c r="D404" s="3" t="s">
        <v>52</v>
      </c>
      <c r="E404" s="3" t="s">
        <v>52</v>
      </c>
      <c r="F404" s="3" t="s">
        <v>1795</v>
      </c>
      <c r="G404" s="3" t="s">
        <v>1042</v>
      </c>
      <c r="H404" s="3" t="s">
        <v>1796</v>
      </c>
      <c r="I404" s="3" t="s">
        <v>1796</v>
      </c>
      <c r="J404" s="3" t="s">
        <v>1031</v>
      </c>
      <c r="K404" s="3" t="s">
        <v>457</v>
      </c>
      <c r="L404" s="3" t="s">
        <v>458</v>
      </c>
      <c r="M404" s="3" t="s">
        <v>58</v>
      </c>
      <c r="N404" s="3" t="s">
        <v>1806</v>
      </c>
      <c r="O404" s="3">
        <v>0</v>
      </c>
      <c r="P404" s="3">
        <v>14</v>
      </c>
      <c r="Q404" s="3" t="s">
        <v>60</v>
      </c>
      <c r="R404" s="3" t="s">
        <v>61</v>
      </c>
      <c r="S404" s="3">
        <v>66</v>
      </c>
      <c r="T404" s="3">
        <v>17</v>
      </c>
      <c r="U404" s="3">
        <v>49</v>
      </c>
      <c r="V404" s="3">
        <v>20</v>
      </c>
      <c r="W404" s="3">
        <v>2</v>
      </c>
      <c r="X404" s="3" t="s">
        <v>1807</v>
      </c>
      <c r="Y404" s="3">
        <v>0</v>
      </c>
      <c r="Z404" s="3">
        <v>2</v>
      </c>
      <c r="AA404" s="3">
        <v>2</v>
      </c>
      <c r="AB404" s="3">
        <v>1</v>
      </c>
      <c r="AC404" s="3">
        <v>8</v>
      </c>
      <c r="AD404" s="3">
        <v>6</v>
      </c>
      <c r="AE404" s="3">
        <v>14</v>
      </c>
      <c r="AF404" s="3" t="s">
        <v>0</v>
      </c>
      <c r="AG404" s="3" t="s">
        <v>49</v>
      </c>
    </row>
    <row r="405" spans="1:33" ht="38.25" x14ac:dyDescent="0.2">
      <c r="A405" s="5" t="str">
        <f>HYPERLINK("http://www.patentics.cn/invokexml.do?sf=ShowPatent&amp;spn=US8934404&amp;sv=793c1c98ec81742056cabed9d7b3596a","US8934404")</f>
        <v>US8934404</v>
      </c>
      <c r="B405" s="3" t="s">
        <v>1808</v>
      </c>
      <c r="C405" s="3" t="s">
        <v>1809</v>
      </c>
      <c r="D405" s="3" t="s">
        <v>52</v>
      </c>
      <c r="E405" s="3" t="s">
        <v>52</v>
      </c>
      <c r="F405" s="3" t="s">
        <v>1042</v>
      </c>
      <c r="G405" s="3" t="s">
        <v>1042</v>
      </c>
      <c r="H405" s="3" t="s">
        <v>1790</v>
      </c>
      <c r="I405" s="3" t="s">
        <v>1790</v>
      </c>
      <c r="J405" s="3" t="s">
        <v>496</v>
      </c>
      <c r="K405" s="3" t="s">
        <v>82</v>
      </c>
      <c r="L405" s="3" t="s">
        <v>83</v>
      </c>
      <c r="M405" s="3" t="s">
        <v>82</v>
      </c>
      <c r="N405" s="3" t="s">
        <v>1810</v>
      </c>
      <c r="O405" s="3">
        <v>0</v>
      </c>
      <c r="P405" s="3">
        <v>11</v>
      </c>
      <c r="Q405" s="3" t="s">
        <v>60</v>
      </c>
      <c r="R405" s="3" t="s">
        <v>61</v>
      </c>
      <c r="S405" s="3">
        <v>63</v>
      </c>
      <c r="T405" s="3">
        <v>14</v>
      </c>
      <c r="U405" s="3">
        <v>49</v>
      </c>
      <c r="V405" s="3">
        <v>20</v>
      </c>
      <c r="W405" s="3">
        <v>0</v>
      </c>
      <c r="X405" s="3" t="s">
        <v>147</v>
      </c>
      <c r="Y405" s="3">
        <v>0</v>
      </c>
      <c r="Z405" s="3">
        <v>0</v>
      </c>
      <c r="AA405" s="3">
        <v>0</v>
      </c>
      <c r="AB405" s="3">
        <v>0</v>
      </c>
      <c r="AC405" s="3">
        <v>10</v>
      </c>
      <c r="AD405" s="3">
        <v>7</v>
      </c>
      <c r="AE405" s="3">
        <v>14</v>
      </c>
      <c r="AF405" s="3" t="s">
        <v>0</v>
      </c>
      <c r="AG405" s="3" t="s">
        <v>49</v>
      </c>
    </row>
    <row r="406" spans="1:33" ht="38.25" x14ac:dyDescent="0.2">
      <c r="A406" s="5" t="str">
        <f>HYPERLINK("http://www.patentics.cn/invokexml.do?sf=ShowPatent&amp;spn=US9402277&amp;sv=4272e8dc89f196a2fba9cf4e70923eed","US9402277")</f>
        <v>US9402277</v>
      </c>
      <c r="B406" s="3" t="s">
        <v>1811</v>
      </c>
      <c r="C406" s="3" t="s">
        <v>1812</v>
      </c>
      <c r="D406" s="3" t="s">
        <v>52</v>
      </c>
      <c r="E406" s="3" t="s">
        <v>52</v>
      </c>
      <c r="F406" s="3" t="s">
        <v>1042</v>
      </c>
      <c r="G406" s="3" t="s">
        <v>1042</v>
      </c>
      <c r="H406" s="3" t="s">
        <v>1790</v>
      </c>
      <c r="I406" s="3" t="s">
        <v>1790</v>
      </c>
      <c r="J406" s="3" t="s">
        <v>1419</v>
      </c>
      <c r="K406" s="3" t="s">
        <v>84</v>
      </c>
      <c r="L406" s="3" t="s">
        <v>784</v>
      </c>
      <c r="M406" s="3" t="s">
        <v>82</v>
      </c>
      <c r="N406" s="3" t="s">
        <v>1810</v>
      </c>
      <c r="O406" s="3">
        <v>0</v>
      </c>
      <c r="P406" s="3">
        <v>18</v>
      </c>
      <c r="Q406" s="3" t="s">
        <v>60</v>
      </c>
      <c r="R406" s="3" t="s">
        <v>61</v>
      </c>
      <c r="S406" s="3">
        <v>65</v>
      </c>
      <c r="T406" s="3">
        <v>12</v>
      </c>
      <c r="U406" s="3">
        <v>53</v>
      </c>
      <c r="V406" s="3">
        <v>21</v>
      </c>
      <c r="W406" s="3">
        <v>1</v>
      </c>
      <c r="X406" s="3" t="s">
        <v>933</v>
      </c>
      <c r="Y406" s="3">
        <v>0</v>
      </c>
      <c r="Z406" s="3">
        <v>1</v>
      </c>
      <c r="AA406" s="3">
        <v>1</v>
      </c>
      <c r="AB406" s="3">
        <v>1</v>
      </c>
      <c r="AC406" s="3">
        <v>11</v>
      </c>
      <c r="AD406" s="3">
        <v>7</v>
      </c>
      <c r="AE406" s="3">
        <v>14</v>
      </c>
      <c r="AF406" s="3" t="s">
        <v>0</v>
      </c>
      <c r="AG406" s="3" t="s">
        <v>49</v>
      </c>
    </row>
    <row r="407" spans="1:33" ht="25.5" x14ac:dyDescent="0.2">
      <c r="A407" s="5" t="str">
        <f>HYPERLINK("http://www.patentics.cn/invokexml.do?sf=ShowPatent&amp;spn=CN101960911B&amp;sv=39157f50846848177864d5c8517af9eb","CN101960911B")</f>
        <v>CN101960911B</v>
      </c>
      <c r="B407" s="3" t="s">
        <v>1813</v>
      </c>
      <c r="C407" s="3" t="s">
        <v>1814</v>
      </c>
      <c r="D407" s="3" t="s">
        <v>338</v>
      </c>
      <c r="E407" s="3" t="s">
        <v>338</v>
      </c>
      <c r="F407" s="3" t="s">
        <v>1815</v>
      </c>
      <c r="G407" s="3" t="s">
        <v>1815</v>
      </c>
      <c r="H407" s="3" t="s">
        <v>1790</v>
      </c>
      <c r="I407" s="3" t="s">
        <v>168</v>
      </c>
      <c r="J407" s="3" t="s">
        <v>1816</v>
      </c>
      <c r="K407" s="3" t="s">
        <v>58</v>
      </c>
      <c r="L407" s="3" t="s">
        <v>1784</v>
      </c>
      <c r="M407" s="3" t="s">
        <v>0</v>
      </c>
      <c r="N407" s="3" t="s">
        <v>0</v>
      </c>
      <c r="O407" s="3">
        <v>20</v>
      </c>
      <c r="P407" s="3">
        <v>26</v>
      </c>
      <c r="Q407" s="3" t="s">
        <v>60</v>
      </c>
      <c r="R407" s="3" t="s">
        <v>61</v>
      </c>
      <c r="S407" s="3">
        <v>2</v>
      </c>
      <c r="T407" s="3">
        <v>0</v>
      </c>
      <c r="U407" s="3">
        <v>2</v>
      </c>
      <c r="V407" s="3">
        <v>2</v>
      </c>
      <c r="W407" s="3">
        <v>0</v>
      </c>
      <c r="X407" s="3" t="s">
        <v>147</v>
      </c>
      <c r="Y407" s="3">
        <v>0</v>
      </c>
      <c r="Z407" s="3">
        <v>0</v>
      </c>
      <c r="AA407" s="3">
        <v>0</v>
      </c>
      <c r="AB407" s="3">
        <v>0</v>
      </c>
      <c r="AC407" s="3">
        <v>11</v>
      </c>
      <c r="AD407" s="3">
        <v>7</v>
      </c>
      <c r="AE407" s="3">
        <v>14</v>
      </c>
      <c r="AF407" s="3" t="s">
        <v>0</v>
      </c>
      <c r="AG407" s="3" t="s">
        <v>49</v>
      </c>
    </row>
    <row r="408" spans="1:33" ht="63.75" x14ac:dyDescent="0.2">
      <c r="A408" s="4" t="str">
        <f>HYPERLINK("http://www.patentics.cn/invokexml.do?sf=ShowPatent&amp;spn=CN1423464&amp;sv=cc64327515d55e7812cfda304c9d22c6","CN1423464")</f>
        <v>CN1423464</v>
      </c>
      <c r="B408" s="2" t="s">
        <v>1817</v>
      </c>
      <c r="C408" s="2" t="s">
        <v>1818</v>
      </c>
      <c r="D408" s="2" t="s">
        <v>1819</v>
      </c>
      <c r="E408" s="2" t="s">
        <v>38</v>
      </c>
      <c r="F408" s="2" t="s">
        <v>1820</v>
      </c>
      <c r="G408" s="2" t="s">
        <v>1821</v>
      </c>
      <c r="H408" s="2" t="s">
        <v>1822</v>
      </c>
      <c r="I408" s="2" t="s">
        <v>1822</v>
      </c>
      <c r="J408" s="2" t="s">
        <v>1823</v>
      </c>
      <c r="K408" s="2" t="s">
        <v>58</v>
      </c>
      <c r="L408" s="2" t="s">
        <v>722</v>
      </c>
      <c r="M408" s="2" t="s">
        <v>43</v>
      </c>
      <c r="N408" s="2" t="s">
        <v>1824</v>
      </c>
      <c r="O408" s="2">
        <v>5</v>
      </c>
      <c r="P408" s="2">
        <v>48</v>
      </c>
      <c r="Q408" s="2" t="s">
        <v>46</v>
      </c>
      <c r="R408" s="2" t="s">
        <v>47</v>
      </c>
      <c r="S408" s="2">
        <v>0</v>
      </c>
      <c r="T408" s="2">
        <v>0</v>
      </c>
      <c r="U408" s="2">
        <v>0</v>
      </c>
      <c r="V408" s="2">
        <v>0</v>
      </c>
      <c r="W408" s="2">
        <v>11</v>
      </c>
      <c r="X408" s="2" t="s">
        <v>1825</v>
      </c>
      <c r="Y408" s="2">
        <v>2</v>
      </c>
      <c r="Z408" s="2">
        <v>9</v>
      </c>
      <c r="AA408" s="2">
        <v>4</v>
      </c>
      <c r="AB408" s="2">
        <v>2</v>
      </c>
      <c r="AC408" s="2">
        <v>1</v>
      </c>
      <c r="AD408" s="2">
        <v>1</v>
      </c>
      <c r="AE408" s="2" t="s">
        <v>0</v>
      </c>
      <c r="AF408" s="2">
        <v>7</v>
      </c>
      <c r="AG408" s="2" t="s">
        <v>755</v>
      </c>
    </row>
    <row r="409" spans="1:33" ht="76.5" x14ac:dyDescent="0.2">
      <c r="A409" s="5" t="str">
        <f>HYPERLINK("http://www.patentics.cn/invokexml.do?sf=ShowPatent&amp;spn=US8774098&amp;sv=0fd8b820873a0f5f6df575b538a04652","US8774098")</f>
        <v>US8774098</v>
      </c>
      <c r="B409" s="3" t="s">
        <v>1826</v>
      </c>
      <c r="C409" s="3" t="s">
        <v>1827</v>
      </c>
      <c r="D409" s="3" t="s">
        <v>52</v>
      </c>
      <c r="E409" s="3" t="s">
        <v>52</v>
      </c>
      <c r="F409" s="3" t="s">
        <v>1828</v>
      </c>
      <c r="G409" s="3" t="s">
        <v>1829</v>
      </c>
      <c r="H409" s="3" t="s">
        <v>1830</v>
      </c>
      <c r="I409" s="3" t="s">
        <v>1831</v>
      </c>
      <c r="J409" s="3" t="s">
        <v>1662</v>
      </c>
      <c r="K409" s="3" t="s">
        <v>58</v>
      </c>
      <c r="L409" s="3" t="s">
        <v>763</v>
      </c>
      <c r="M409" s="3" t="s">
        <v>58</v>
      </c>
      <c r="N409" s="3" t="s">
        <v>1832</v>
      </c>
      <c r="O409" s="3">
        <v>0</v>
      </c>
      <c r="P409" s="3">
        <v>16</v>
      </c>
      <c r="Q409" s="3" t="s">
        <v>60</v>
      </c>
      <c r="R409" s="3" t="s">
        <v>61</v>
      </c>
      <c r="S409" s="3">
        <v>324</v>
      </c>
      <c r="T409" s="3">
        <v>43</v>
      </c>
      <c r="U409" s="3">
        <v>281</v>
      </c>
      <c r="V409" s="3">
        <v>100</v>
      </c>
      <c r="W409" s="3">
        <v>1</v>
      </c>
      <c r="X409" s="3" t="s">
        <v>523</v>
      </c>
      <c r="Y409" s="3">
        <v>0</v>
      </c>
      <c r="Z409" s="3">
        <v>1</v>
      </c>
      <c r="AA409" s="3">
        <v>1</v>
      </c>
      <c r="AB409" s="3">
        <v>1</v>
      </c>
      <c r="AC409" s="3">
        <v>163</v>
      </c>
      <c r="AD409" s="3">
        <v>18</v>
      </c>
      <c r="AE409" s="3">
        <v>14</v>
      </c>
      <c r="AF409" s="3" t="s">
        <v>0</v>
      </c>
      <c r="AG409" s="3" t="s">
        <v>49</v>
      </c>
    </row>
    <row r="410" spans="1:33" ht="63.75" x14ac:dyDescent="0.2">
      <c r="A410" s="5" t="str">
        <f>HYPERLINK("http://www.patentics.cn/invokexml.do?sf=ShowPatent&amp;spn=US8842657&amp;sv=1028db8297b38aaa98e34d357526757d","US8842657")</f>
        <v>US8842657</v>
      </c>
      <c r="B410" s="3" t="s">
        <v>1833</v>
      </c>
      <c r="C410" s="3" t="s">
        <v>1834</v>
      </c>
      <c r="D410" s="3" t="s">
        <v>52</v>
      </c>
      <c r="E410" s="3" t="s">
        <v>52</v>
      </c>
      <c r="F410" s="3" t="s">
        <v>1835</v>
      </c>
      <c r="G410" s="3" t="s">
        <v>431</v>
      </c>
      <c r="H410" s="3" t="s">
        <v>1830</v>
      </c>
      <c r="I410" s="3" t="s">
        <v>1836</v>
      </c>
      <c r="J410" s="3" t="s">
        <v>183</v>
      </c>
      <c r="K410" s="3" t="s">
        <v>84</v>
      </c>
      <c r="L410" s="3" t="s">
        <v>234</v>
      </c>
      <c r="M410" s="3" t="s">
        <v>58</v>
      </c>
      <c r="N410" s="3" t="s">
        <v>1837</v>
      </c>
      <c r="O410" s="3">
        <v>0</v>
      </c>
      <c r="P410" s="3">
        <v>10</v>
      </c>
      <c r="Q410" s="3" t="s">
        <v>60</v>
      </c>
      <c r="R410" s="3" t="s">
        <v>61</v>
      </c>
      <c r="S410" s="3">
        <v>255</v>
      </c>
      <c r="T410" s="3">
        <v>37</v>
      </c>
      <c r="U410" s="3">
        <v>218</v>
      </c>
      <c r="V410" s="3">
        <v>79</v>
      </c>
      <c r="W410" s="3">
        <v>3</v>
      </c>
      <c r="X410" s="3" t="s">
        <v>1807</v>
      </c>
      <c r="Y410" s="3">
        <v>1</v>
      </c>
      <c r="Z410" s="3">
        <v>2</v>
      </c>
      <c r="AA410" s="3">
        <v>3</v>
      </c>
      <c r="AB410" s="3">
        <v>1</v>
      </c>
      <c r="AC410" s="3">
        <v>163</v>
      </c>
      <c r="AD410" s="3">
        <v>18</v>
      </c>
      <c r="AE410" s="3">
        <v>14</v>
      </c>
      <c r="AF410" s="3" t="s">
        <v>0</v>
      </c>
      <c r="AG410" s="3" t="s">
        <v>49</v>
      </c>
    </row>
    <row r="411" spans="1:33" ht="51" x14ac:dyDescent="0.2">
      <c r="A411" s="5" t="str">
        <f>HYPERLINK("http://www.patentics.cn/invokexml.do?sf=ShowPatent&amp;spn=US8903440&amp;sv=6f25b3449b17efc878dc9c0d1bf91d3d","US8903440")</f>
        <v>US8903440</v>
      </c>
      <c r="B411" s="3" t="s">
        <v>1838</v>
      </c>
      <c r="C411" s="3" t="s">
        <v>1839</v>
      </c>
      <c r="D411" s="3" t="s">
        <v>52</v>
      </c>
      <c r="E411" s="3" t="s">
        <v>52</v>
      </c>
      <c r="F411" s="3" t="s">
        <v>1840</v>
      </c>
      <c r="G411" s="3" t="s">
        <v>1026</v>
      </c>
      <c r="H411" s="3" t="s">
        <v>1841</v>
      </c>
      <c r="I411" s="3" t="s">
        <v>983</v>
      </c>
      <c r="J411" s="3" t="s">
        <v>1842</v>
      </c>
      <c r="K411" s="3" t="s">
        <v>84</v>
      </c>
      <c r="L411" s="3" t="s">
        <v>163</v>
      </c>
      <c r="M411" s="3" t="s">
        <v>82</v>
      </c>
      <c r="N411" s="3" t="s">
        <v>154</v>
      </c>
      <c r="O411" s="3">
        <v>0</v>
      </c>
      <c r="P411" s="3">
        <v>10</v>
      </c>
      <c r="Q411" s="3" t="s">
        <v>60</v>
      </c>
      <c r="R411" s="3" t="s">
        <v>61</v>
      </c>
      <c r="S411" s="3">
        <v>335</v>
      </c>
      <c r="T411" s="3">
        <v>43</v>
      </c>
      <c r="U411" s="3">
        <v>292</v>
      </c>
      <c r="V411" s="3">
        <v>103</v>
      </c>
      <c r="W411" s="3">
        <v>0</v>
      </c>
      <c r="X411" s="3" t="s">
        <v>147</v>
      </c>
      <c r="Y411" s="3">
        <v>0</v>
      </c>
      <c r="Z411" s="3">
        <v>0</v>
      </c>
      <c r="AA411" s="3">
        <v>0</v>
      </c>
      <c r="AB411" s="3">
        <v>0</v>
      </c>
      <c r="AC411" s="3">
        <v>7</v>
      </c>
      <c r="AD411" s="3">
        <v>3</v>
      </c>
      <c r="AE411" s="3">
        <v>14</v>
      </c>
      <c r="AF411" s="3" t="s">
        <v>0</v>
      </c>
      <c r="AG411" s="3" t="s">
        <v>49</v>
      </c>
    </row>
    <row r="412" spans="1:33" ht="38.25" x14ac:dyDescent="0.2">
      <c r="A412" s="5" t="str">
        <f>HYPERLINK("http://www.patentics.cn/invokexml.do?sf=ShowPatent&amp;spn=US9072101&amp;sv=dc7069e020b21bcc5d725426c18d66bb","US9072101")</f>
        <v>US9072101</v>
      </c>
      <c r="B412" s="3" t="s">
        <v>1843</v>
      </c>
      <c r="C412" s="3" t="s">
        <v>1844</v>
      </c>
      <c r="D412" s="3" t="s">
        <v>52</v>
      </c>
      <c r="E412" s="3" t="s">
        <v>52</v>
      </c>
      <c r="F412" s="3" t="s">
        <v>1845</v>
      </c>
      <c r="G412" s="3" t="s">
        <v>431</v>
      </c>
      <c r="H412" s="3" t="s">
        <v>1830</v>
      </c>
      <c r="I412" s="3" t="s">
        <v>426</v>
      </c>
      <c r="J412" s="3" t="s">
        <v>1075</v>
      </c>
      <c r="K412" s="3" t="s">
        <v>82</v>
      </c>
      <c r="L412" s="3" t="s">
        <v>1310</v>
      </c>
      <c r="M412" s="3" t="s">
        <v>0</v>
      </c>
      <c r="N412" s="3" t="s">
        <v>0</v>
      </c>
      <c r="O412" s="3">
        <v>0</v>
      </c>
      <c r="P412" s="3">
        <v>24</v>
      </c>
      <c r="Q412" s="3" t="s">
        <v>60</v>
      </c>
      <c r="R412" s="3" t="s">
        <v>61</v>
      </c>
      <c r="S412" s="3">
        <v>345</v>
      </c>
      <c r="T412" s="3">
        <v>44</v>
      </c>
      <c r="U412" s="3">
        <v>301</v>
      </c>
      <c r="V412" s="3">
        <v>106</v>
      </c>
      <c r="W412" s="3">
        <v>1</v>
      </c>
      <c r="X412" s="3" t="s">
        <v>1232</v>
      </c>
      <c r="Y412" s="3">
        <v>0</v>
      </c>
      <c r="Z412" s="3">
        <v>1</v>
      </c>
      <c r="AA412" s="3">
        <v>1</v>
      </c>
      <c r="AB412" s="3">
        <v>1</v>
      </c>
      <c r="AC412" s="3">
        <v>163</v>
      </c>
      <c r="AD412" s="3">
        <v>18</v>
      </c>
      <c r="AE412" s="3">
        <v>14</v>
      </c>
      <c r="AF412" s="3" t="s">
        <v>0</v>
      </c>
      <c r="AG412" s="3" t="s">
        <v>49</v>
      </c>
    </row>
    <row r="413" spans="1:33" ht="76.5" x14ac:dyDescent="0.2">
      <c r="A413" s="5" t="str">
        <f>HYPERLINK("http://www.patentics.cn/invokexml.do?sf=ShowPatent&amp;spn=US9137087&amp;sv=36aae64c9e3f6a5a7773ec5d6e6a4ac6","US9137087")</f>
        <v>US9137087</v>
      </c>
      <c r="B413" s="3" t="s">
        <v>1846</v>
      </c>
      <c r="C413" s="3" t="s">
        <v>1847</v>
      </c>
      <c r="D413" s="3" t="s">
        <v>52</v>
      </c>
      <c r="E413" s="3" t="s">
        <v>52</v>
      </c>
      <c r="F413" s="3" t="s">
        <v>1848</v>
      </c>
      <c r="G413" s="3" t="s">
        <v>1026</v>
      </c>
      <c r="H413" s="3" t="s">
        <v>1830</v>
      </c>
      <c r="I413" s="3" t="s">
        <v>511</v>
      </c>
      <c r="J413" s="3" t="s">
        <v>225</v>
      </c>
      <c r="K413" s="3" t="s">
        <v>58</v>
      </c>
      <c r="L413" s="3" t="s">
        <v>722</v>
      </c>
      <c r="M413" s="3" t="s">
        <v>58</v>
      </c>
      <c r="N413" s="3" t="s">
        <v>1849</v>
      </c>
      <c r="O413" s="3">
        <v>0</v>
      </c>
      <c r="P413" s="3">
        <v>11</v>
      </c>
      <c r="Q413" s="3" t="s">
        <v>60</v>
      </c>
      <c r="R413" s="3" t="s">
        <v>61</v>
      </c>
      <c r="S413" s="3">
        <v>401</v>
      </c>
      <c r="T413" s="3">
        <v>63</v>
      </c>
      <c r="U413" s="3">
        <v>338</v>
      </c>
      <c r="V413" s="3">
        <v>109</v>
      </c>
      <c r="W413" s="3">
        <v>0</v>
      </c>
      <c r="X413" s="3" t="s">
        <v>147</v>
      </c>
      <c r="Y413" s="3">
        <v>0</v>
      </c>
      <c r="Z413" s="3">
        <v>0</v>
      </c>
      <c r="AA413" s="3">
        <v>0</v>
      </c>
      <c r="AB413" s="3">
        <v>0</v>
      </c>
      <c r="AC413" s="3">
        <v>163</v>
      </c>
      <c r="AD413" s="3">
        <v>18</v>
      </c>
      <c r="AE413" s="3">
        <v>14</v>
      </c>
      <c r="AF413" s="3" t="s">
        <v>0</v>
      </c>
      <c r="AG413" s="3" t="s">
        <v>49</v>
      </c>
    </row>
    <row r="414" spans="1:33" ht="38.25" x14ac:dyDescent="0.2">
      <c r="A414" s="5" t="str">
        <f>HYPERLINK("http://www.patentics.cn/invokexml.do?sf=ShowPatent&amp;spn=US9198194&amp;sv=44854b98e9b92f2f16e292e80ef665db","US9198194")</f>
        <v>US9198194</v>
      </c>
      <c r="B414" s="3" t="s">
        <v>1850</v>
      </c>
      <c r="C414" s="3" t="s">
        <v>1851</v>
      </c>
      <c r="D414" s="3" t="s">
        <v>52</v>
      </c>
      <c r="E414" s="3" t="s">
        <v>52</v>
      </c>
      <c r="F414" s="3" t="s">
        <v>1852</v>
      </c>
      <c r="G414" s="3" t="s">
        <v>1853</v>
      </c>
      <c r="H414" s="3" t="s">
        <v>1854</v>
      </c>
      <c r="I414" s="3" t="s">
        <v>1855</v>
      </c>
      <c r="J414" s="3" t="s">
        <v>1856</v>
      </c>
      <c r="K414" s="3" t="s">
        <v>84</v>
      </c>
      <c r="L414" s="3" t="s">
        <v>1857</v>
      </c>
      <c r="M414" s="3" t="s">
        <v>82</v>
      </c>
      <c r="N414" s="3" t="s">
        <v>1858</v>
      </c>
      <c r="O414" s="3">
        <v>0</v>
      </c>
      <c r="P414" s="3">
        <v>10</v>
      </c>
      <c r="Q414" s="3" t="s">
        <v>60</v>
      </c>
      <c r="R414" s="3" t="s">
        <v>61</v>
      </c>
      <c r="S414" s="3">
        <v>344</v>
      </c>
      <c r="T414" s="3">
        <v>44</v>
      </c>
      <c r="U414" s="3">
        <v>300</v>
      </c>
      <c r="V414" s="3">
        <v>106</v>
      </c>
      <c r="W414" s="3">
        <v>0</v>
      </c>
      <c r="X414" s="3" t="s">
        <v>147</v>
      </c>
      <c r="Y414" s="3">
        <v>0</v>
      </c>
      <c r="Z414" s="3">
        <v>0</v>
      </c>
      <c r="AA414" s="3">
        <v>0</v>
      </c>
      <c r="AB414" s="3">
        <v>0</v>
      </c>
      <c r="AC414" s="3">
        <v>39</v>
      </c>
      <c r="AD414" s="3">
        <v>11</v>
      </c>
      <c r="AE414" s="3">
        <v>14</v>
      </c>
      <c r="AF414" s="3" t="s">
        <v>0</v>
      </c>
      <c r="AG414" s="3" t="s">
        <v>49</v>
      </c>
    </row>
    <row r="415" spans="1:33" ht="102" x14ac:dyDescent="0.2">
      <c r="A415" s="5" t="str">
        <f>HYPERLINK("http://www.patentics.cn/invokexml.do?sf=ShowPatent&amp;spn=US9226308&amp;sv=a5be9bf6fe7d47ae2db377b5f529a65b","US9226308")</f>
        <v>US9226308</v>
      </c>
      <c r="B415" s="3" t="s">
        <v>1859</v>
      </c>
      <c r="C415" s="3" t="s">
        <v>1860</v>
      </c>
      <c r="D415" s="3" t="s">
        <v>52</v>
      </c>
      <c r="E415" s="3" t="s">
        <v>52</v>
      </c>
      <c r="F415" s="3" t="s">
        <v>1861</v>
      </c>
      <c r="G415" s="3" t="s">
        <v>382</v>
      </c>
      <c r="H415" s="3" t="s">
        <v>1830</v>
      </c>
      <c r="I415" s="3" t="s">
        <v>1862</v>
      </c>
      <c r="J415" s="3" t="s">
        <v>294</v>
      </c>
      <c r="K415" s="3" t="s">
        <v>70</v>
      </c>
      <c r="L415" s="3" t="s">
        <v>153</v>
      </c>
      <c r="M415" s="3" t="s">
        <v>82</v>
      </c>
      <c r="N415" s="3" t="s">
        <v>1863</v>
      </c>
      <c r="O415" s="3">
        <v>0</v>
      </c>
      <c r="P415" s="3">
        <v>21</v>
      </c>
      <c r="Q415" s="3" t="s">
        <v>60</v>
      </c>
      <c r="R415" s="3" t="s">
        <v>61</v>
      </c>
      <c r="S415" s="3">
        <v>344</v>
      </c>
      <c r="T415" s="3">
        <v>44</v>
      </c>
      <c r="U415" s="3">
        <v>300</v>
      </c>
      <c r="V415" s="3">
        <v>106</v>
      </c>
      <c r="W415" s="3">
        <v>0</v>
      </c>
      <c r="X415" s="3" t="s">
        <v>147</v>
      </c>
      <c r="Y415" s="3">
        <v>0</v>
      </c>
      <c r="Z415" s="3">
        <v>0</v>
      </c>
      <c r="AA415" s="3">
        <v>0</v>
      </c>
      <c r="AB415" s="3">
        <v>0</v>
      </c>
      <c r="AC415" s="3">
        <v>163</v>
      </c>
      <c r="AD415" s="3">
        <v>18</v>
      </c>
      <c r="AE415" s="3">
        <v>14</v>
      </c>
      <c r="AF415" s="3" t="s">
        <v>0</v>
      </c>
      <c r="AG415" s="3" t="s">
        <v>49</v>
      </c>
    </row>
    <row r="416" spans="1:33" ht="102" x14ac:dyDescent="0.2">
      <c r="A416" s="4" t="str">
        <f>HYPERLINK("http://www.patentics.cn/invokexml.do?sf=ShowPatent&amp;spn=US20060109923&amp;sv=1c30cbb7bb1269081f016f91261e45f7","US20060109923")</f>
        <v>US20060109923</v>
      </c>
      <c r="B416" s="2" t="s">
        <v>1864</v>
      </c>
      <c r="C416" s="2" t="s">
        <v>1865</v>
      </c>
      <c r="D416" s="2" t="s">
        <v>346</v>
      </c>
      <c r="E416" s="2" t="s">
        <v>346</v>
      </c>
      <c r="F416" s="2" t="s">
        <v>1866</v>
      </c>
      <c r="G416" s="2" t="s">
        <v>1314</v>
      </c>
      <c r="H416" s="2" t="s">
        <v>1867</v>
      </c>
      <c r="I416" s="2" t="s">
        <v>1868</v>
      </c>
      <c r="J416" s="2" t="s">
        <v>1869</v>
      </c>
      <c r="K416" s="2" t="s">
        <v>333</v>
      </c>
      <c r="L416" s="2" t="s">
        <v>334</v>
      </c>
      <c r="M416" s="2" t="s">
        <v>0</v>
      </c>
      <c r="N416" s="2" t="s">
        <v>0</v>
      </c>
      <c r="O416" s="2">
        <v>23</v>
      </c>
      <c r="P416" s="2">
        <v>15</v>
      </c>
      <c r="Q416" s="2" t="s">
        <v>352</v>
      </c>
      <c r="R416" s="2" t="s">
        <v>61</v>
      </c>
      <c r="S416" s="2">
        <v>0</v>
      </c>
      <c r="T416" s="2">
        <v>0</v>
      </c>
      <c r="U416" s="2">
        <v>0</v>
      </c>
      <c r="V416" s="2">
        <v>0</v>
      </c>
      <c r="W416" s="2">
        <v>43</v>
      </c>
      <c r="X416" s="2" t="s">
        <v>1870</v>
      </c>
      <c r="Y416" s="2">
        <v>0</v>
      </c>
      <c r="Z416" s="2">
        <v>43</v>
      </c>
      <c r="AA416" s="2">
        <v>15</v>
      </c>
      <c r="AB416" s="2">
        <v>5</v>
      </c>
      <c r="AC416" s="2">
        <v>2</v>
      </c>
      <c r="AD416" s="2">
        <v>1</v>
      </c>
      <c r="AE416" s="2" t="s">
        <v>0</v>
      </c>
      <c r="AF416" s="2">
        <v>7</v>
      </c>
      <c r="AG416" s="2" t="s">
        <v>49</v>
      </c>
    </row>
    <row r="417" spans="1:33" ht="51" x14ac:dyDescent="0.2">
      <c r="A417" s="5" t="str">
        <f>HYPERLINK("http://www.patentics.cn/invokexml.do?sf=ShowPatent&amp;spn=US8553795&amp;sv=8e032334ca93a01181d34e804773996e","US8553795")</f>
        <v>US8553795</v>
      </c>
      <c r="B417" s="3" t="s">
        <v>1871</v>
      </c>
      <c r="C417" s="3" t="s">
        <v>1872</v>
      </c>
      <c r="D417" s="3" t="s">
        <v>52</v>
      </c>
      <c r="E417" s="3" t="s">
        <v>52</v>
      </c>
      <c r="F417" s="3" t="s">
        <v>1873</v>
      </c>
      <c r="G417" s="3" t="s">
        <v>1874</v>
      </c>
      <c r="H417" s="3" t="s">
        <v>1875</v>
      </c>
      <c r="I417" s="3" t="s">
        <v>1640</v>
      </c>
      <c r="J417" s="3" t="s">
        <v>1876</v>
      </c>
      <c r="K417" s="3" t="s">
        <v>84</v>
      </c>
      <c r="L417" s="3" t="s">
        <v>135</v>
      </c>
      <c r="M417" s="3" t="s">
        <v>84</v>
      </c>
      <c r="N417" s="3" t="s">
        <v>1877</v>
      </c>
      <c r="O417" s="3">
        <v>0</v>
      </c>
      <c r="P417" s="3">
        <v>21</v>
      </c>
      <c r="Q417" s="3" t="s">
        <v>60</v>
      </c>
      <c r="R417" s="3" t="s">
        <v>61</v>
      </c>
      <c r="S417" s="3">
        <v>17</v>
      </c>
      <c r="T417" s="3">
        <v>2</v>
      </c>
      <c r="U417" s="3">
        <v>15</v>
      </c>
      <c r="V417" s="3">
        <v>11</v>
      </c>
      <c r="W417" s="3">
        <v>5</v>
      </c>
      <c r="X417" s="3" t="s">
        <v>1878</v>
      </c>
      <c r="Y417" s="3">
        <v>4</v>
      </c>
      <c r="Z417" s="3">
        <v>1</v>
      </c>
      <c r="AA417" s="3">
        <v>2</v>
      </c>
      <c r="AB417" s="3">
        <v>1</v>
      </c>
      <c r="AC417" s="3">
        <v>27</v>
      </c>
      <c r="AD417" s="3">
        <v>10</v>
      </c>
      <c r="AE417" s="3">
        <v>14</v>
      </c>
      <c r="AF417" s="3" t="s">
        <v>0</v>
      </c>
      <c r="AG417" s="3" t="s">
        <v>49</v>
      </c>
    </row>
    <row r="418" spans="1:33" ht="153" x14ac:dyDescent="0.2">
      <c r="A418" s="5" t="str">
        <f>HYPERLINK("http://www.patentics.cn/invokexml.do?sf=ShowPatent&amp;spn=US8639190&amp;sv=f8e264aa45d65fda07764baf89dcec0f","US8639190")</f>
        <v>US8639190</v>
      </c>
      <c r="B418" s="3" t="s">
        <v>1879</v>
      </c>
      <c r="C418" s="3" t="s">
        <v>1880</v>
      </c>
      <c r="D418" s="3" t="s">
        <v>52</v>
      </c>
      <c r="E418" s="3" t="s">
        <v>52</v>
      </c>
      <c r="F418" s="3" t="s">
        <v>1881</v>
      </c>
      <c r="G418" s="3" t="s">
        <v>124</v>
      </c>
      <c r="H418" s="3" t="s">
        <v>55</v>
      </c>
      <c r="I418" s="3" t="s">
        <v>1882</v>
      </c>
      <c r="J418" s="3" t="s">
        <v>892</v>
      </c>
      <c r="K418" s="3" t="s">
        <v>84</v>
      </c>
      <c r="L418" s="3" t="s">
        <v>310</v>
      </c>
      <c r="M418" s="3" t="s">
        <v>58</v>
      </c>
      <c r="N418" s="3" t="s">
        <v>1883</v>
      </c>
      <c r="O418" s="3">
        <v>0</v>
      </c>
      <c r="P418" s="3">
        <v>15</v>
      </c>
      <c r="Q418" s="3" t="s">
        <v>60</v>
      </c>
      <c r="R418" s="3" t="s">
        <v>61</v>
      </c>
      <c r="S418" s="3">
        <v>34</v>
      </c>
      <c r="T418" s="3">
        <v>8</v>
      </c>
      <c r="U418" s="3">
        <v>26</v>
      </c>
      <c r="V418" s="3">
        <v>15</v>
      </c>
      <c r="W418" s="3">
        <v>10</v>
      </c>
      <c r="X418" s="3" t="s">
        <v>1884</v>
      </c>
      <c r="Y418" s="3">
        <v>2</v>
      </c>
      <c r="Z418" s="3">
        <v>8</v>
      </c>
      <c r="AA418" s="3">
        <v>1</v>
      </c>
      <c r="AB418" s="3">
        <v>2</v>
      </c>
      <c r="AC418" s="3">
        <v>31</v>
      </c>
      <c r="AD418" s="3">
        <v>18</v>
      </c>
      <c r="AE418" s="3">
        <v>14</v>
      </c>
      <c r="AF418" s="3" t="s">
        <v>0</v>
      </c>
      <c r="AG418" s="3" t="s">
        <v>49</v>
      </c>
    </row>
    <row r="419" spans="1:33" ht="51" x14ac:dyDescent="0.2">
      <c r="A419" s="5" t="str">
        <f>HYPERLINK("http://www.patentics.cn/invokexml.do?sf=ShowPatent&amp;spn=US8675768&amp;sv=dfae5bd3384bb59191d0e09ff84ab6de","US8675768")</f>
        <v>US8675768</v>
      </c>
      <c r="B419" s="3" t="s">
        <v>1885</v>
      </c>
      <c r="C419" s="3" t="s">
        <v>1872</v>
      </c>
      <c r="D419" s="3" t="s">
        <v>52</v>
      </c>
      <c r="E419" s="3" t="s">
        <v>52</v>
      </c>
      <c r="F419" s="3" t="s">
        <v>1873</v>
      </c>
      <c r="G419" s="3" t="s">
        <v>1874</v>
      </c>
      <c r="H419" s="3" t="s">
        <v>1875</v>
      </c>
      <c r="I419" s="3" t="s">
        <v>1886</v>
      </c>
      <c r="J419" s="3" t="s">
        <v>1887</v>
      </c>
      <c r="K419" s="3" t="s">
        <v>84</v>
      </c>
      <c r="L419" s="3" t="s">
        <v>135</v>
      </c>
      <c r="M419" s="3" t="s">
        <v>84</v>
      </c>
      <c r="N419" s="3" t="s">
        <v>1877</v>
      </c>
      <c r="O419" s="3">
        <v>0</v>
      </c>
      <c r="P419" s="3">
        <v>20</v>
      </c>
      <c r="Q419" s="3" t="s">
        <v>60</v>
      </c>
      <c r="R419" s="3" t="s">
        <v>61</v>
      </c>
      <c r="S419" s="3">
        <v>23</v>
      </c>
      <c r="T419" s="3">
        <v>6</v>
      </c>
      <c r="U419" s="3">
        <v>17</v>
      </c>
      <c r="V419" s="3">
        <v>11</v>
      </c>
      <c r="W419" s="3">
        <v>0</v>
      </c>
      <c r="X419" s="3" t="s">
        <v>147</v>
      </c>
      <c r="Y419" s="3">
        <v>0</v>
      </c>
      <c r="Z419" s="3">
        <v>0</v>
      </c>
      <c r="AA419" s="3">
        <v>0</v>
      </c>
      <c r="AB419" s="3">
        <v>0</v>
      </c>
      <c r="AC419" s="3">
        <v>27</v>
      </c>
      <c r="AD419" s="3">
        <v>10</v>
      </c>
      <c r="AE419" s="3">
        <v>14</v>
      </c>
      <c r="AF419" s="3" t="s">
        <v>0</v>
      </c>
      <c r="AG419" s="3" t="s">
        <v>49</v>
      </c>
    </row>
    <row r="420" spans="1:33" ht="51" x14ac:dyDescent="0.2">
      <c r="A420" s="5" t="str">
        <f>HYPERLINK("http://www.patentics.cn/invokexml.do?sf=ShowPatent&amp;spn=US8699587&amp;sv=0742dc82b8259bdbea2136d93e5f9f4b","US8699587")</f>
        <v>US8699587</v>
      </c>
      <c r="B420" s="3" t="s">
        <v>1888</v>
      </c>
      <c r="C420" s="3" t="s">
        <v>1889</v>
      </c>
      <c r="D420" s="3" t="s">
        <v>52</v>
      </c>
      <c r="E420" s="3" t="s">
        <v>52</v>
      </c>
      <c r="F420" s="3" t="s">
        <v>1890</v>
      </c>
      <c r="G420" s="3" t="s">
        <v>1891</v>
      </c>
      <c r="H420" s="3" t="s">
        <v>1892</v>
      </c>
      <c r="I420" s="3" t="s">
        <v>1893</v>
      </c>
      <c r="J420" s="3" t="s">
        <v>1894</v>
      </c>
      <c r="K420" s="3" t="s">
        <v>58</v>
      </c>
      <c r="L420" s="3" t="s">
        <v>94</v>
      </c>
      <c r="M420" s="3" t="s">
        <v>84</v>
      </c>
      <c r="N420" s="3" t="s">
        <v>1895</v>
      </c>
      <c r="O420" s="3">
        <v>0</v>
      </c>
      <c r="P420" s="3">
        <v>11</v>
      </c>
      <c r="Q420" s="3" t="s">
        <v>60</v>
      </c>
      <c r="R420" s="3" t="s">
        <v>61</v>
      </c>
      <c r="S420" s="3">
        <v>22</v>
      </c>
      <c r="T420" s="3">
        <v>4</v>
      </c>
      <c r="U420" s="3">
        <v>18</v>
      </c>
      <c r="V420" s="3">
        <v>11</v>
      </c>
      <c r="W420" s="3">
        <v>22</v>
      </c>
      <c r="X420" s="3" t="s">
        <v>1896</v>
      </c>
      <c r="Y420" s="3">
        <v>1</v>
      </c>
      <c r="Z420" s="3">
        <v>21</v>
      </c>
      <c r="AA420" s="3">
        <v>2</v>
      </c>
      <c r="AB420" s="3">
        <v>2</v>
      </c>
      <c r="AC420" s="3">
        <v>17</v>
      </c>
      <c r="AD420" s="3">
        <v>10</v>
      </c>
      <c r="AE420" s="3">
        <v>14</v>
      </c>
      <c r="AF420" s="3" t="s">
        <v>0</v>
      </c>
      <c r="AG420" s="3" t="s">
        <v>49</v>
      </c>
    </row>
    <row r="421" spans="1:33" ht="153" x14ac:dyDescent="0.2">
      <c r="A421" s="5" t="str">
        <f>HYPERLINK("http://www.patentics.cn/invokexml.do?sf=ShowPatent&amp;spn=US8971823&amp;sv=3b98da6772c8360047bd5dae2f0bb527","US8971823")</f>
        <v>US8971823</v>
      </c>
      <c r="B421" s="3" t="s">
        <v>1897</v>
      </c>
      <c r="C421" s="3" t="s">
        <v>1880</v>
      </c>
      <c r="D421" s="3" t="s">
        <v>52</v>
      </c>
      <c r="E421" s="3" t="s">
        <v>52</v>
      </c>
      <c r="F421" s="3" t="s">
        <v>1881</v>
      </c>
      <c r="G421" s="3" t="s">
        <v>124</v>
      </c>
      <c r="H421" s="3" t="s">
        <v>55</v>
      </c>
      <c r="I421" s="3" t="s">
        <v>1898</v>
      </c>
      <c r="J421" s="3" t="s">
        <v>1899</v>
      </c>
      <c r="K421" s="3" t="s">
        <v>84</v>
      </c>
      <c r="L421" s="3" t="s">
        <v>310</v>
      </c>
      <c r="M421" s="3" t="s">
        <v>58</v>
      </c>
      <c r="N421" s="3" t="s">
        <v>1883</v>
      </c>
      <c r="O421" s="3">
        <v>0</v>
      </c>
      <c r="P421" s="3">
        <v>16</v>
      </c>
      <c r="Q421" s="3" t="s">
        <v>60</v>
      </c>
      <c r="R421" s="3" t="s">
        <v>61</v>
      </c>
      <c r="S421" s="3">
        <v>38</v>
      </c>
      <c r="T421" s="3">
        <v>12</v>
      </c>
      <c r="U421" s="3">
        <v>26</v>
      </c>
      <c r="V421" s="3">
        <v>16</v>
      </c>
      <c r="W421" s="3">
        <v>8</v>
      </c>
      <c r="X421" s="3" t="s">
        <v>147</v>
      </c>
      <c r="Y421" s="3">
        <v>0</v>
      </c>
      <c r="Z421" s="3">
        <v>8</v>
      </c>
      <c r="AA421" s="3">
        <v>0</v>
      </c>
      <c r="AB421" s="3">
        <v>1</v>
      </c>
      <c r="AC421" s="3">
        <v>31</v>
      </c>
      <c r="AD421" s="3">
        <v>18</v>
      </c>
      <c r="AE421" s="3">
        <v>14</v>
      </c>
      <c r="AF421" s="3" t="s">
        <v>0</v>
      </c>
      <c r="AG421" s="3" t="s">
        <v>49</v>
      </c>
    </row>
    <row r="422" spans="1:33" ht="63.75" x14ac:dyDescent="0.2">
      <c r="A422" s="5" t="str">
        <f>HYPERLINK("http://www.patentics.cn/invokexml.do?sf=ShowPatent&amp;spn=US9059819&amp;sv=63d3e3cf7923870f6ec815bde1acc9e3","US9059819")</f>
        <v>US9059819</v>
      </c>
      <c r="B422" s="3" t="s">
        <v>1900</v>
      </c>
      <c r="C422" s="3" t="s">
        <v>1901</v>
      </c>
      <c r="D422" s="3" t="s">
        <v>52</v>
      </c>
      <c r="E422" s="3" t="s">
        <v>52</v>
      </c>
      <c r="F422" s="3" t="s">
        <v>1902</v>
      </c>
      <c r="G422" s="3" t="s">
        <v>1903</v>
      </c>
      <c r="H422" s="3" t="s">
        <v>1904</v>
      </c>
      <c r="I422" s="3" t="s">
        <v>1905</v>
      </c>
      <c r="J422" s="3" t="s">
        <v>1906</v>
      </c>
      <c r="K422" s="3" t="s">
        <v>58</v>
      </c>
      <c r="L422" s="3" t="s">
        <v>613</v>
      </c>
      <c r="M422" s="3" t="s">
        <v>58</v>
      </c>
      <c r="N422" s="3" t="s">
        <v>1907</v>
      </c>
      <c r="O422" s="3">
        <v>0</v>
      </c>
      <c r="P422" s="3">
        <v>9</v>
      </c>
      <c r="Q422" s="3" t="s">
        <v>60</v>
      </c>
      <c r="R422" s="3" t="s">
        <v>61</v>
      </c>
      <c r="S422" s="3">
        <v>26</v>
      </c>
      <c r="T422" s="3">
        <v>8</v>
      </c>
      <c r="U422" s="3">
        <v>18</v>
      </c>
      <c r="V422" s="3">
        <v>11</v>
      </c>
      <c r="W422" s="3">
        <v>6</v>
      </c>
      <c r="X422" s="3" t="s">
        <v>147</v>
      </c>
      <c r="Y422" s="3">
        <v>0</v>
      </c>
      <c r="Z422" s="3">
        <v>6</v>
      </c>
      <c r="AA422" s="3">
        <v>0</v>
      </c>
      <c r="AB422" s="3">
        <v>1</v>
      </c>
      <c r="AC422" s="3">
        <v>14</v>
      </c>
      <c r="AD422" s="3">
        <v>11</v>
      </c>
      <c r="AE422" s="3">
        <v>14</v>
      </c>
      <c r="AF422" s="3" t="s">
        <v>0</v>
      </c>
      <c r="AG422" s="3" t="s">
        <v>49</v>
      </c>
    </row>
    <row r="423" spans="1:33" ht="63.75" x14ac:dyDescent="0.2">
      <c r="A423" s="5" t="str">
        <f>HYPERLINK("http://www.patentics.cn/invokexml.do?sf=ShowPatent&amp;spn=TWI373241&amp;sv=50f87882473d7e1ca12e01d039724271","TWI373241")</f>
        <v>TWI373241</v>
      </c>
      <c r="B423" s="3" t="s">
        <v>1908</v>
      </c>
      <c r="C423" s="3" t="s">
        <v>1909</v>
      </c>
      <c r="D423" s="3" t="s">
        <v>992</v>
      </c>
      <c r="E423" s="3" t="s">
        <v>338</v>
      </c>
      <c r="F423" s="3" t="s">
        <v>1910</v>
      </c>
      <c r="G423" s="3" t="s">
        <v>1911</v>
      </c>
      <c r="H423" s="3" t="s">
        <v>1892</v>
      </c>
      <c r="I423" s="3" t="s">
        <v>1244</v>
      </c>
      <c r="J423" s="3" t="s">
        <v>1912</v>
      </c>
      <c r="K423" s="3" t="s">
        <v>58</v>
      </c>
      <c r="L423" s="3" t="s">
        <v>326</v>
      </c>
      <c r="M423" s="3" t="s">
        <v>0</v>
      </c>
      <c r="N423" s="3" t="s">
        <v>0</v>
      </c>
      <c r="O423" s="3">
        <v>55</v>
      </c>
      <c r="P423" s="3">
        <v>16</v>
      </c>
      <c r="Q423" s="3" t="s">
        <v>60</v>
      </c>
      <c r="R423" s="3" t="s">
        <v>1913</v>
      </c>
      <c r="S423" s="3">
        <v>8</v>
      </c>
      <c r="T423" s="3">
        <v>2</v>
      </c>
      <c r="U423" s="3">
        <v>6</v>
      </c>
      <c r="V423" s="3">
        <v>5</v>
      </c>
      <c r="W423" s="3">
        <v>20</v>
      </c>
      <c r="X423" s="3" t="s">
        <v>147</v>
      </c>
      <c r="Y423" s="3">
        <v>0</v>
      </c>
      <c r="Z423" s="3">
        <v>20</v>
      </c>
      <c r="AA423" s="3">
        <v>0</v>
      </c>
      <c r="AB423" s="3">
        <v>1</v>
      </c>
      <c r="AC423" s="3">
        <v>0</v>
      </c>
      <c r="AD423" s="3">
        <v>0</v>
      </c>
      <c r="AE423" s="3">
        <v>14</v>
      </c>
      <c r="AF423" s="3" t="s">
        <v>0</v>
      </c>
      <c r="AG423" s="3" t="s">
        <v>0</v>
      </c>
    </row>
    <row r="424" spans="1:33" ht="63.75" x14ac:dyDescent="0.2">
      <c r="A424" s="4" t="str">
        <f>HYPERLINK("http://www.patentics.cn/invokexml.do?sf=ShowPatent&amp;spn=WO2009009511&amp;sv=b802fbe1ad19351fe479fa0549ad929e","WO2009009511")</f>
        <v>WO2009009511</v>
      </c>
      <c r="B424" s="2" t="s">
        <v>1914</v>
      </c>
      <c r="C424" s="2" t="s">
        <v>1915</v>
      </c>
      <c r="D424" s="2" t="s">
        <v>1916</v>
      </c>
      <c r="E424" s="2" t="s">
        <v>1917</v>
      </c>
      <c r="F424" s="2" t="s">
        <v>1918</v>
      </c>
      <c r="G424" s="2" t="s">
        <v>1919</v>
      </c>
      <c r="H424" s="2" t="s">
        <v>1920</v>
      </c>
      <c r="I424" s="2" t="s">
        <v>1007</v>
      </c>
      <c r="J424" s="2" t="s">
        <v>1921</v>
      </c>
      <c r="K424" s="2" t="s">
        <v>84</v>
      </c>
      <c r="L424" s="2" t="s">
        <v>1922</v>
      </c>
      <c r="M424" s="2" t="s">
        <v>0</v>
      </c>
      <c r="N424" s="2" t="s">
        <v>0</v>
      </c>
      <c r="O424" s="2">
        <v>55</v>
      </c>
      <c r="P424" s="2">
        <v>20</v>
      </c>
      <c r="Q424" s="2" t="s">
        <v>352</v>
      </c>
      <c r="R424" s="2" t="s">
        <v>61</v>
      </c>
      <c r="S424" s="2">
        <v>1</v>
      </c>
      <c r="T424" s="2">
        <v>0</v>
      </c>
      <c r="U424" s="2">
        <v>1</v>
      </c>
      <c r="V424" s="2">
        <v>1</v>
      </c>
      <c r="W424" s="2">
        <v>22</v>
      </c>
      <c r="X424" s="2" t="s">
        <v>1923</v>
      </c>
      <c r="Y424" s="2">
        <v>5</v>
      </c>
      <c r="Z424" s="2">
        <v>17</v>
      </c>
      <c r="AA424" s="2">
        <v>6</v>
      </c>
      <c r="AB424" s="2">
        <v>5</v>
      </c>
      <c r="AC424" s="2">
        <v>10</v>
      </c>
      <c r="AD424" s="2">
        <v>5</v>
      </c>
      <c r="AE424" s="2" t="s">
        <v>0</v>
      </c>
      <c r="AF424" s="2">
        <v>6</v>
      </c>
      <c r="AG424" s="2" t="s">
        <v>0</v>
      </c>
    </row>
    <row r="425" spans="1:33" ht="76.5" x14ac:dyDescent="0.2">
      <c r="A425" s="5" t="str">
        <f>HYPERLINK("http://www.patentics.cn/invokexml.do?sf=ShowPatent&amp;spn=US8553711&amp;sv=9ef16a56de21b738572fbed7b73e8466","US8553711")</f>
        <v>US8553711</v>
      </c>
      <c r="B425" s="3" t="s">
        <v>1924</v>
      </c>
      <c r="C425" s="3" t="s">
        <v>1925</v>
      </c>
      <c r="D425" s="3" t="s">
        <v>52</v>
      </c>
      <c r="E425" s="3" t="s">
        <v>52</v>
      </c>
      <c r="F425" s="3" t="s">
        <v>1926</v>
      </c>
      <c r="G425" s="3" t="s">
        <v>173</v>
      </c>
      <c r="H425" s="3" t="s">
        <v>1927</v>
      </c>
      <c r="I425" s="3" t="s">
        <v>1115</v>
      </c>
      <c r="J425" s="3" t="s">
        <v>1876</v>
      </c>
      <c r="K425" s="3" t="s">
        <v>58</v>
      </c>
      <c r="L425" s="3" t="s">
        <v>289</v>
      </c>
      <c r="M425" s="3" t="s">
        <v>82</v>
      </c>
      <c r="N425" s="3" t="s">
        <v>1928</v>
      </c>
      <c r="O425" s="3">
        <v>0</v>
      </c>
      <c r="P425" s="3">
        <v>12</v>
      </c>
      <c r="Q425" s="3" t="s">
        <v>60</v>
      </c>
      <c r="R425" s="3" t="s">
        <v>61</v>
      </c>
      <c r="S425" s="3">
        <v>7</v>
      </c>
      <c r="T425" s="3">
        <v>1</v>
      </c>
      <c r="U425" s="3">
        <v>6</v>
      </c>
      <c r="V425" s="3">
        <v>5</v>
      </c>
      <c r="W425" s="3">
        <v>4</v>
      </c>
      <c r="X425" s="3" t="s">
        <v>1929</v>
      </c>
      <c r="Y425" s="3">
        <v>2</v>
      </c>
      <c r="Z425" s="3">
        <v>2</v>
      </c>
      <c r="AA425" s="3">
        <v>3</v>
      </c>
      <c r="AB425" s="3">
        <v>1</v>
      </c>
      <c r="AC425" s="3">
        <v>20</v>
      </c>
      <c r="AD425" s="3">
        <v>7</v>
      </c>
      <c r="AE425" s="3">
        <v>14</v>
      </c>
      <c r="AF425" s="3" t="s">
        <v>0</v>
      </c>
      <c r="AG425" s="3" t="s">
        <v>49</v>
      </c>
    </row>
    <row r="426" spans="1:33" ht="140.25" x14ac:dyDescent="0.2">
      <c r="A426" s="5" t="str">
        <f>HYPERLINK("http://www.patentics.cn/invokexml.do?sf=ShowPatent&amp;spn=US9279879&amp;sv=cce005c4c8c6a37794831723b0f6a1bb","US9279879")</f>
        <v>US9279879</v>
      </c>
      <c r="B426" s="3" t="s">
        <v>1930</v>
      </c>
      <c r="C426" s="3" t="s">
        <v>1931</v>
      </c>
      <c r="D426" s="3" t="s">
        <v>52</v>
      </c>
      <c r="E426" s="3" t="s">
        <v>52</v>
      </c>
      <c r="F426" s="3" t="s">
        <v>1932</v>
      </c>
      <c r="G426" s="3" t="s">
        <v>181</v>
      </c>
      <c r="H426" s="3" t="s">
        <v>1933</v>
      </c>
      <c r="I426" s="3" t="s">
        <v>1934</v>
      </c>
      <c r="J426" s="3" t="s">
        <v>683</v>
      </c>
      <c r="K426" s="3" t="s">
        <v>1935</v>
      </c>
      <c r="L426" s="3" t="s">
        <v>1936</v>
      </c>
      <c r="M426" s="3" t="s">
        <v>1935</v>
      </c>
      <c r="N426" s="3" t="s">
        <v>1937</v>
      </c>
      <c r="O426" s="3">
        <v>0</v>
      </c>
      <c r="P426" s="3">
        <v>12</v>
      </c>
      <c r="Q426" s="3" t="s">
        <v>60</v>
      </c>
      <c r="R426" s="3" t="s">
        <v>61</v>
      </c>
      <c r="S426" s="3">
        <v>46</v>
      </c>
      <c r="T426" s="3">
        <v>14</v>
      </c>
      <c r="U426" s="3">
        <v>32</v>
      </c>
      <c r="V426" s="3">
        <v>20</v>
      </c>
      <c r="W426" s="3">
        <v>0</v>
      </c>
      <c r="X426" s="3" t="s">
        <v>147</v>
      </c>
      <c r="Y426" s="3">
        <v>0</v>
      </c>
      <c r="Z426" s="3">
        <v>0</v>
      </c>
      <c r="AA426" s="3">
        <v>0</v>
      </c>
      <c r="AB426" s="3">
        <v>0</v>
      </c>
      <c r="AC426" s="3">
        <v>27</v>
      </c>
      <c r="AD426" s="3">
        <v>7</v>
      </c>
      <c r="AE426" s="3">
        <v>14</v>
      </c>
      <c r="AF426" s="3" t="s">
        <v>0</v>
      </c>
      <c r="AG426" s="3" t="s">
        <v>49</v>
      </c>
    </row>
    <row r="427" spans="1:33" ht="89.25" x14ac:dyDescent="0.2">
      <c r="A427" s="5" t="str">
        <f>HYPERLINK("http://www.patentics.cn/invokexml.do?sf=ShowPatent&amp;spn=US9432991&amp;sv=0ec082e79652dbdc20567d86a510b4ba","US9432991")</f>
        <v>US9432991</v>
      </c>
      <c r="B427" s="3" t="s">
        <v>1938</v>
      </c>
      <c r="C427" s="3" t="s">
        <v>1939</v>
      </c>
      <c r="D427" s="3" t="s">
        <v>52</v>
      </c>
      <c r="E427" s="3" t="s">
        <v>52</v>
      </c>
      <c r="F427" s="3" t="s">
        <v>1940</v>
      </c>
      <c r="G427" s="3" t="s">
        <v>181</v>
      </c>
      <c r="H427" s="3" t="s">
        <v>1941</v>
      </c>
      <c r="I427" s="3" t="s">
        <v>1942</v>
      </c>
      <c r="J427" s="3" t="s">
        <v>718</v>
      </c>
      <c r="K427" s="3" t="s">
        <v>82</v>
      </c>
      <c r="L427" s="3" t="s">
        <v>226</v>
      </c>
      <c r="M427" s="3" t="s">
        <v>82</v>
      </c>
      <c r="N427" s="3" t="s">
        <v>1943</v>
      </c>
      <c r="O427" s="3">
        <v>0</v>
      </c>
      <c r="P427" s="3">
        <v>29</v>
      </c>
      <c r="Q427" s="3" t="s">
        <v>60</v>
      </c>
      <c r="R427" s="3" t="s">
        <v>61</v>
      </c>
      <c r="S427" s="3">
        <v>47</v>
      </c>
      <c r="T427" s="3">
        <v>0</v>
      </c>
      <c r="U427" s="3">
        <v>47</v>
      </c>
      <c r="V427" s="3">
        <v>21</v>
      </c>
      <c r="W427" s="3">
        <v>0</v>
      </c>
      <c r="X427" s="3" t="s">
        <v>147</v>
      </c>
      <c r="Y427" s="3">
        <v>0</v>
      </c>
      <c r="Z427" s="3">
        <v>0</v>
      </c>
      <c r="AA427" s="3">
        <v>0</v>
      </c>
      <c r="AB427" s="3">
        <v>0</v>
      </c>
      <c r="AC427" s="3">
        <v>20</v>
      </c>
      <c r="AD427" s="3">
        <v>7</v>
      </c>
      <c r="AE427" s="3">
        <v>14</v>
      </c>
      <c r="AF427" s="3" t="s">
        <v>0</v>
      </c>
      <c r="AG427" s="3" t="s">
        <v>49</v>
      </c>
    </row>
    <row r="428" spans="1:33" ht="76.5" x14ac:dyDescent="0.2">
      <c r="A428" s="5" t="str">
        <f>HYPERLINK("http://www.patentics.cn/invokexml.do?sf=ShowPatent&amp;spn=US9635558&amp;sv=8925f867e9a4837586f8a2a18abf44f0","US9635558")</f>
        <v>US9635558</v>
      </c>
      <c r="B428" s="3" t="s">
        <v>1944</v>
      </c>
      <c r="C428" s="3" t="s">
        <v>1925</v>
      </c>
      <c r="D428" s="3" t="s">
        <v>52</v>
      </c>
      <c r="E428" s="3" t="s">
        <v>52</v>
      </c>
      <c r="F428" s="3" t="s">
        <v>1945</v>
      </c>
      <c r="G428" s="3" t="s">
        <v>1946</v>
      </c>
      <c r="H428" s="3" t="s">
        <v>0</v>
      </c>
      <c r="I428" s="3" t="s">
        <v>1947</v>
      </c>
      <c r="J428" s="3" t="s">
        <v>1948</v>
      </c>
      <c r="K428" s="3" t="s">
        <v>82</v>
      </c>
      <c r="L428" s="3" t="s">
        <v>1949</v>
      </c>
      <c r="M428" s="3" t="s">
        <v>82</v>
      </c>
      <c r="N428" s="3" t="s">
        <v>1928</v>
      </c>
      <c r="O428" s="3">
        <v>0</v>
      </c>
      <c r="P428" s="3">
        <v>19</v>
      </c>
      <c r="Q428" s="3" t="s">
        <v>60</v>
      </c>
      <c r="R428" s="3" t="s">
        <v>61</v>
      </c>
      <c r="S428" s="3">
        <v>22</v>
      </c>
      <c r="T428" s="3">
        <v>2</v>
      </c>
      <c r="U428" s="3">
        <v>20</v>
      </c>
      <c r="V428" s="3">
        <v>11</v>
      </c>
      <c r="W428" s="3">
        <v>0</v>
      </c>
      <c r="X428" s="3" t="s">
        <v>147</v>
      </c>
      <c r="Y428" s="3">
        <v>0</v>
      </c>
      <c r="Z428" s="3">
        <v>0</v>
      </c>
      <c r="AA428" s="3">
        <v>0</v>
      </c>
      <c r="AB428" s="3">
        <v>0</v>
      </c>
      <c r="AC428" s="3">
        <v>0</v>
      </c>
      <c r="AD428" s="3">
        <v>0</v>
      </c>
      <c r="AE428" s="3">
        <v>14</v>
      </c>
      <c r="AF428" s="3" t="s">
        <v>0</v>
      </c>
      <c r="AG428" s="3" t="s">
        <v>49</v>
      </c>
    </row>
    <row r="429" spans="1:33" ht="89.25" x14ac:dyDescent="0.2">
      <c r="A429" s="5" t="str">
        <f>HYPERLINK("http://www.patentics.cn/invokexml.do?sf=ShowPatent&amp;spn=WO2010124031&amp;sv=292dab40948a0313929ca6523348d5dd","WO2010124031")</f>
        <v>WO2010124031</v>
      </c>
      <c r="B429" s="3" t="s">
        <v>1950</v>
      </c>
      <c r="C429" s="3" t="s">
        <v>1939</v>
      </c>
      <c r="D429" s="3" t="s">
        <v>1951</v>
      </c>
      <c r="E429" s="3" t="s">
        <v>1952</v>
      </c>
      <c r="F429" s="3" t="s">
        <v>1953</v>
      </c>
      <c r="G429" s="3" t="s">
        <v>1954</v>
      </c>
      <c r="H429" s="3" t="s">
        <v>1941</v>
      </c>
      <c r="I429" s="3" t="s">
        <v>1955</v>
      </c>
      <c r="J429" s="3" t="s">
        <v>1956</v>
      </c>
      <c r="K429" s="3" t="s">
        <v>82</v>
      </c>
      <c r="L429" s="3" t="s">
        <v>1957</v>
      </c>
      <c r="M429" s="3" t="s">
        <v>0</v>
      </c>
      <c r="N429" s="3" t="s">
        <v>0</v>
      </c>
      <c r="O429" s="3">
        <v>50</v>
      </c>
      <c r="P429" s="3">
        <v>14</v>
      </c>
      <c r="Q429" s="3" t="s">
        <v>352</v>
      </c>
      <c r="R429" s="3" t="s">
        <v>61</v>
      </c>
      <c r="S429" s="3">
        <v>7</v>
      </c>
      <c r="T429" s="3">
        <v>0</v>
      </c>
      <c r="U429" s="3">
        <v>7</v>
      </c>
      <c r="V429" s="3">
        <v>4</v>
      </c>
      <c r="W429" s="3">
        <v>3</v>
      </c>
      <c r="X429" s="3" t="s">
        <v>189</v>
      </c>
      <c r="Y429" s="3">
        <v>0</v>
      </c>
      <c r="Z429" s="3">
        <v>3</v>
      </c>
      <c r="AA429" s="3">
        <v>1</v>
      </c>
      <c r="AB429" s="3">
        <v>2</v>
      </c>
      <c r="AC429" s="3">
        <v>20</v>
      </c>
      <c r="AD429" s="3">
        <v>7</v>
      </c>
      <c r="AE429" s="3">
        <v>14</v>
      </c>
      <c r="AF429" s="3" t="s">
        <v>0</v>
      </c>
      <c r="AG429" s="3" t="s">
        <v>0</v>
      </c>
    </row>
    <row r="430" spans="1:33" ht="89.25" x14ac:dyDescent="0.2">
      <c r="A430" s="5" t="str">
        <f>HYPERLINK("http://www.patentics.cn/invokexml.do?sf=ShowPatent&amp;spn=WO2015187251&amp;sv=5a84b281221e460c193d08ad4969cbb9","WO2015187251")</f>
        <v>WO2015187251</v>
      </c>
      <c r="B430" s="3" t="s">
        <v>1958</v>
      </c>
      <c r="C430" s="3" t="s">
        <v>1959</v>
      </c>
      <c r="D430" s="3" t="s">
        <v>52</v>
      </c>
      <c r="E430" s="3" t="s">
        <v>52</v>
      </c>
      <c r="F430" s="3" t="s">
        <v>1960</v>
      </c>
      <c r="G430" s="3" t="s">
        <v>1961</v>
      </c>
      <c r="H430" s="3" t="s">
        <v>1962</v>
      </c>
      <c r="I430" s="3" t="s">
        <v>1963</v>
      </c>
      <c r="J430" s="3" t="s">
        <v>1964</v>
      </c>
      <c r="K430" s="3" t="s">
        <v>82</v>
      </c>
      <c r="L430" s="3" t="s">
        <v>244</v>
      </c>
      <c r="M430" s="3" t="s">
        <v>0</v>
      </c>
      <c r="N430" s="3" t="s">
        <v>0</v>
      </c>
      <c r="O430" s="3">
        <v>57</v>
      </c>
      <c r="P430" s="3">
        <v>16</v>
      </c>
      <c r="Q430" s="3" t="s">
        <v>352</v>
      </c>
      <c r="R430" s="3" t="s">
        <v>61</v>
      </c>
      <c r="S430" s="3">
        <v>4</v>
      </c>
      <c r="T430" s="3">
        <v>1</v>
      </c>
      <c r="U430" s="3">
        <v>3</v>
      </c>
      <c r="V430" s="3">
        <v>4</v>
      </c>
      <c r="W430" s="3">
        <v>0</v>
      </c>
      <c r="X430" s="3" t="s">
        <v>147</v>
      </c>
      <c r="Y430" s="3">
        <v>0</v>
      </c>
      <c r="Z430" s="3">
        <v>0</v>
      </c>
      <c r="AA430" s="3">
        <v>0</v>
      </c>
      <c r="AB430" s="3">
        <v>0</v>
      </c>
      <c r="AC430" s="3">
        <v>3</v>
      </c>
      <c r="AD430" s="3">
        <v>4</v>
      </c>
      <c r="AE430" s="3">
        <v>14</v>
      </c>
      <c r="AF430" s="3" t="s">
        <v>0</v>
      </c>
      <c r="AG430" s="3" t="s">
        <v>0</v>
      </c>
    </row>
    <row r="431" spans="1:33" ht="76.5" x14ac:dyDescent="0.2">
      <c r="A431" s="4" t="str">
        <f>HYPERLINK("http://www.patentics.cn/invokexml.do?sf=ShowPatent&amp;spn=EP2555562&amp;sv=ce5cd7dccd7b811fcfe59c09b20307ac","EP2555562")</f>
        <v>EP2555562</v>
      </c>
      <c r="B431" s="2" t="s">
        <v>1965</v>
      </c>
      <c r="C431" s="2" t="s">
        <v>1966</v>
      </c>
      <c r="D431" s="2" t="s">
        <v>346</v>
      </c>
      <c r="E431" s="2" t="s">
        <v>346</v>
      </c>
      <c r="F431" s="2" t="s">
        <v>1967</v>
      </c>
      <c r="G431" s="2" t="s">
        <v>1968</v>
      </c>
      <c r="H431" s="2" t="s">
        <v>1403</v>
      </c>
      <c r="I431" s="2" t="s">
        <v>1969</v>
      </c>
      <c r="J431" s="2" t="s">
        <v>1970</v>
      </c>
      <c r="K431" s="2" t="s">
        <v>82</v>
      </c>
      <c r="L431" s="2" t="s">
        <v>1971</v>
      </c>
      <c r="M431" s="2" t="s">
        <v>82</v>
      </c>
      <c r="N431" s="2" t="s">
        <v>1972</v>
      </c>
      <c r="O431" s="2">
        <v>25</v>
      </c>
      <c r="P431" s="2">
        <v>14</v>
      </c>
      <c r="Q431" s="2" t="s">
        <v>352</v>
      </c>
      <c r="R431" s="2" t="s">
        <v>47</v>
      </c>
      <c r="S431" s="2">
        <v>0</v>
      </c>
      <c r="T431" s="2">
        <v>0</v>
      </c>
      <c r="U431" s="2">
        <v>0</v>
      </c>
      <c r="V431" s="2">
        <v>0</v>
      </c>
      <c r="W431" s="2">
        <v>6</v>
      </c>
      <c r="X431" s="2" t="s">
        <v>1232</v>
      </c>
      <c r="Y431" s="2">
        <v>0</v>
      </c>
      <c r="Z431" s="2">
        <v>6</v>
      </c>
      <c r="AA431" s="2">
        <v>1</v>
      </c>
      <c r="AB431" s="2">
        <v>1</v>
      </c>
      <c r="AC431" s="2">
        <v>5</v>
      </c>
      <c r="AD431" s="2">
        <v>4</v>
      </c>
      <c r="AE431" s="2" t="s">
        <v>0</v>
      </c>
      <c r="AF431" s="2">
        <v>6</v>
      </c>
      <c r="AG431" s="2" t="s">
        <v>0</v>
      </c>
    </row>
    <row r="432" spans="1:33" ht="76.5" x14ac:dyDescent="0.2">
      <c r="A432" s="5" t="str">
        <f>HYPERLINK("http://www.patentics.cn/invokexml.do?sf=ShowPatent&amp;spn=US8873494&amp;sv=f32f10b4376aba05ef37452590072c92","US8873494")</f>
        <v>US8873494</v>
      </c>
      <c r="B432" s="3" t="s">
        <v>1407</v>
      </c>
      <c r="C432" s="3" t="s">
        <v>1408</v>
      </c>
      <c r="D432" s="3" t="s">
        <v>52</v>
      </c>
      <c r="E432" s="3" t="s">
        <v>52</v>
      </c>
      <c r="F432" s="3" t="s">
        <v>1409</v>
      </c>
      <c r="G432" s="3" t="s">
        <v>1410</v>
      </c>
      <c r="H432" s="3" t="s">
        <v>1411</v>
      </c>
      <c r="I432" s="3" t="s">
        <v>1412</v>
      </c>
      <c r="J432" s="3" t="s">
        <v>489</v>
      </c>
      <c r="K432" s="3" t="s">
        <v>82</v>
      </c>
      <c r="L432" s="3" t="s">
        <v>83</v>
      </c>
      <c r="M432" s="3" t="s">
        <v>82</v>
      </c>
      <c r="N432" s="3" t="s">
        <v>1413</v>
      </c>
      <c r="O432" s="3">
        <v>0</v>
      </c>
      <c r="P432" s="3">
        <v>12</v>
      </c>
      <c r="Q432" s="3" t="s">
        <v>60</v>
      </c>
      <c r="R432" s="3" t="s">
        <v>61</v>
      </c>
      <c r="S432" s="3">
        <v>46</v>
      </c>
      <c r="T432" s="3">
        <v>11</v>
      </c>
      <c r="U432" s="3">
        <v>35</v>
      </c>
      <c r="V432" s="3">
        <v>16</v>
      </c>
      <c r="W432" s="3">
        <v>1</v>
      </c>
      <c r="X432" s="3" t="s">
        <v>108</v>
      </c>
      <c r="Y432" s="3">
        <v>0</v>
      </c>
      <c r="Z432" s="3">
        <v>1</v>
      </c>
      <c r="AA432" s="3">
        <v>1</v>
      </c>
      <c r="AB432" s="3">
        <v>1</v>
      </c>
      <c r="AC432" s="3">
        <v>59</v>
      </c>
      <c r="AD432" s="3">
        <v>7</v>
      </c>
      <c r="AE432" s="3">
        <v>14</v>
      </c>
      <c r="AF432" s="3" t="s">
        <v>0</v>
      </c>
      <c r="AG432" s="3" t="s">
        <v>49</v>
      </c>
    </row>
    <row r="433" spans="1:33" ht="76.5" x14ac:dyDescent="0.2">
      <c r="A433" s="5" t="str">
        <f>HYPERLINK("http://www.patentics.cn/invokexml.do?sf=ShowPatent&amp;spn=US9191977&amp;sv=7fda1ebbdb437785f2271ef4558bd167","US9191977")</f>
        <v>US9191977</v>
      </c>
      <c r="B433" s="3" t="s">
        <v>1414</v>
      </c>
      <c r="C433" s="3" t="s">
        <v>1408</v>
      </c>
      <c r="D433" s="3" t="s">
        <v>52</v>
      </c>
      <c r="E433" s="3" t="s">
        <v>52</v>
      </c>
      <c r="F433" s="3" t="s">
        <v>1409</v>
      </c>
      <c r="G433" s="3" t="s">
        <v>1410</v>
      </c>
      <c r="H433" s="3" t="s">
        <v>1411</v>
      </c>
      <c r="I433" s="3" t="s">
        <v>1412</v>
      </c>
      <c r="J433" s="3" t="s">
        <v>612</v>
      </c>
      <c r="K433" s="3" t="s">
        <v>82</v>
      </c>
      <c r="L433" s="3" t="s">
        <v>83</v>
      </c>
      <c r="M433" s="3" t="s">
        <v>82</v>
      </c>
      <c r="N433" s="3" t="s">
        <v>1415</v>
      </c>
      <c r="O433" s="3">
        <v>0</v>
      </c>
      <c r="P433" s="3">
        <v>16</v>
      </c>
      <c r="Q433" s="3" t="s">
        <v>60</v>
      </c>
      <c r="R433" s="3" t="s">
        <v>61</v>
      </c>
      <c r="S433" s="3">
        <v>83</v>
      </c>
      <c r="T433" s="3">
        <v>13</v>
      </c>
      <c r="U433" s="3">
        <v>70</v>
      </c>
      <c r="V433" s="3">
        <v>31</v>
      </c>
      <c r="W433" s="3">
        <v>1</v>
      </c>
      <c r="X433" s="3" t="s">
        <v>108</v>
      </c>
      <c r="Y433" s="3">
        <v>0</v>
      </c>
      <c r="Z433" s="3">
        <v>1</v>
      </c>
      <c r="AA433" s="3">
        <v>1</v>
      </c>
      <c r="AB433" s="3">
        <v>1</v>
      </c>
      <c r="AC433" s="3">
        <v>59</v>
      </c>
      <c r="AD433" s="3">
        <v>7</v>
      </c>
      <c r="AE433" s="3">
        <v>14</v>
      </c>
      <c r="AF433" s="3" t="s">
        <v>0</v>
      </c>
      <c r="AG433" s="3" t="s">
        <v>49</v>
      </c>
    </row>
    <row r="434" spans="1:33" ht="76.5" x14ac:dyDescent="0.2">
      <c r="A434" s="5" t="str">
        <f>HYPERLINK("http://www.patentics.cn/invokexml.do?sf=ShowPatent&amp;spn=US9271317&amp;sv=468cf283134f225837cb2f3891eb771d","US9271317")</f>
        <v>US9271317</v>
      </c>
      <c r="B434" s="3" t="s">
        <v>1416</v>
      </c>
      <c r="C434" s="3" t="s">
        <v>1408</v>
      </c>
      <c r="D434" s="3" t="s">
        <v>52</v>
      </c>
      <c r="E434" s="3" t="s">
        <v>52</v>
      </c>
      <c r="F434" s="3" t="s">
        <v>1409</v>
      </c>
      <c r="G434" s="3" t="s">
        <v>1410</v>
      </c>
      <c r="H434" s="3" t="s">
        <v>1411</v>
      </c>
      <c r="I434" s="3" t="s">
        <v>1412</v>
      </c>
      <c r="J434" s="3" t="s">
        <v>669</v>
      </c>
      <c r="K434" s="3" t="s">
        <v>82</v>
      </c>
      <c r="L434" s="3" t="s">
        <v>83</v>
      </c>
      <c r="M434" s="3" t="s">
        <v>82</v>
      </c>
      <c r="N434" s="3" t="s">
        <v>1415</v>
      </c>
      <c r="O434" s="3">
        <v>0</v>
      </c>
      <c r="P434" s="3">
        <v>11</v>
      </c>
      <c r="Q434" s="3" t="s">
        <v>60</v>
      </c>
      <c r="R434" s="3" t="s">
        <v>61</v>
      </c>
      <c r="S434" s="3">
        <v>92</v>
      </c>
      <c r="T434" s="3">
        <v>14</v>
      </c>
      <c r="U434" s="3">
        <v>78</v>
      </c>
      <c r="V434" s="3">
        <v>34</v>
      </c>
      <c r="W434" s="3">
        <v>1</v>
      </c>
      <c r="X434" s="3" t="s">
        <v>108</v>
      </c>
      <c r="Y434" s="3">
        <v>0</v>
      </c>
      <c r="Z434" s="3">
        <v>1</v>
      </c>
      <c r="AA434" s="3">
        <v>1</v>
      </c>
      <c r="AB434" s="3">
        <v>1</v>
      </c>
      <c r="AC434" s="3">
        <v>59</v>
      </c>
      <c r="AD434" s="3">
        <v>7</v>
      </c>
      <c r="AE434" s="3">
        <v>14</v>
      </c>
      <c r="AF434" s="3" t="s">
        <v>0</v>
      </c>
      <c r="AG434" s="3" t="s">
        <v>49</v>
      </c>
    </row>
    <row r="435" spans="1:33" ht="76.5" x14ac:dyDescent="0.2">
      <c r="A435" s="5" t="str">
        <f>HYPERLINK("http://www.patentics.cn/invokexml.do?sf=ShowPatent&amp;spn=US9338732&amp;sv=4179d7a54d2781beb9b0e60113a66e65","US9338732")</f>
        <v>US9338732</v>
      </c>
      <c r="B435" s="3" t="s">
        <v>1417</v>
      </c>
      <c r="C435" s="3" t="s">
        <v>1408</v>
      </c>
      <c r="D435" s="3" t="s">
        <v>52</v>
      </c>
      <c r="E435" s="3" t="s">
        <v>52</v>
      </c>
      <c r="F435" s="3" t="s">
        <v>1409</v>
      </c>
      <c r="G435" s="3" t="s">
        <v>1410</v>
      </c>
      <c r="H435" s="3" t="s">
        <v>1411</v>
      </c>
      <c r="I435" s="3" t="s">
        <v>1412</v>
      </c>
      <c r="J435" s="3" t="s">
        <v>840</v>
      </c>
      <c r="K435" s="3" t="s">
        <v>82</v>
      </c>
      <c r="L435" s="3" t="s">
        <v>83</v>
      </c>
      <c r="M435" s="3" t="s">
        <v>82</v>
      </c>
      <c r="N435" s="3" t="s">
        <v>807</v>
      </c>
      <c r="O435" s="3">
        <v>0</v>
      </c>
      <c r="P435" s="3">
        <v>11</v>
      </c>
      <c r="Q435" s="3" t="s">
        <v>60</v>
      </c>
      <c r="R435" s="3" t="s">
        <v>61</v>
      </c>
      <c r="S435" s="3">
        <v>97</v>
      </c>
      <c r="T435" s="3">
        <v>14</v>
      </c>
      <c r="U435" s="3">
        <v>83</v>
      </c>
      <c r="V435" s="3">
        <v>35</v>
      </c>
      <c r="W435" s="3">
        <v>0</v>
      </c>
      <c r="X435" s="3" t="s">
        <v>147</v>
      </c>
      <c r="Y435" s="3">
        <v>0</v>
      </c>
      <c r="Z435" s="3">
        <v>0</v>
      </c>
      <c r="AA435" s="3">
        <v>0</v>
      </c>
      <c r="AB435" s="3">
        <v>0</v>
      </c>
      <c r="AC435" s="3">
        <v>59</v>
      </c>
      <c r="AD435" s="3">
        <v>7</v>
      </c>
      <c r="AE435" s="3">
        <v>14</v>
      </c>
      <c r="AF435" s="3" t="s">
        <v>0</v>
      </c>
      <c r="AG435" s="3" t="s">
        <v>49</v>
      </c>
    </row>
    <row r="436" spans="1:33" ht="76.5" x14ac:dyDescent="0.2">
      <c r="A436" s="5" t="str">
        <f>HYPERLINK("http://www.patentics.cn/invokexml.do?sf=ShowPatent&amp;spn=US9402243&amp;sv=4b3e88289e04274cfda289a985b80364","US9402243")</f>
        <v>US9402243</v>
      </c>
      <c r="B436" s="3" t="s">
        <v>1418</v>
      </c>
      <c r="C436" s="3" t="s">
        <v>1408</v>
      </c>
      <c r="D436" s="3" t="s">
        <v>52</v>
      </c>
      <c r="E436" s="3" t="s">
        <v>52</v>
      </c>
      <c r="F436" s="3" t="s">
        <v>1409</v>
      </c>
      <c r="G436" s="3" t="s">
        <v>1410</v>
      </c>
      <c r="H436" s="3" t="s">
        <v>1411</v>
      </c>
      <c r="I436" s="3" t="s">
        <v>1412</v>
      </c>
      <c r="J436" s="3" t="s">
        <v>1419</v>
      </c>
      <c r="K436" s="3" t="s">
        <v>1246</v>
      </c>
      <c r="L436" s="3" t="s">
        <v>1247</v>
      </c>
      <c r="M436" s="3" t="s">
        <v>82</v>
      </c>
      <c r="N436" s="3" t="s">
        <v>1420</v>
      </c>
      <c r="O436" s="3">
        <v>0</v>
      </c>
      <c r="P436" s="3">
        <v>11</v>
      </c>
      <c r="Q436" s="3" t="s">
        <v>60</v>
      </c>
      <c r="R436" s="3" t="s">
        <v>61</v>
      </c>
      <c r="S436" s="3">
        <v>101</v>
      </c>
      <c r="T436" s="3">
        <v>14</v>
      </c>
      <c r="U436" s="3">
        <v>87</v>
      </c>
      <c r="V436" s="3">
        <v>37</v>
      </c>
      <c r="W436" s="3">
        <v>0</v>
      </c>
      <c r="X436" s="3" t="s">
        <v>147</v>
      </c>
      <c r="Y436" s="3">
        <v>0</v>
      </c>
      <c r="Z436" s="3">
        <v>0</v>
      </c>
      <c r="AA436" s="3">
        <v>0</v>
      </c>
      <c r="AB436" s="3">
        <v>0</v>
      </c>
      <c r="AC436" s="3">
        <v>59</v>
      </c>
      <c r="AD436" s="3">
        <v>7</v>
      </c>
      <c r="AE436" s="3">
        <v>14</v>
      </c>
      <c r="AF436" s="3" t="s">
        <v>0</v>
      </c>
      <c r="AG436" s="3" t="s">
        <v>49</v>
      </c>
    </row>
    <row r="437" spans="1:33" ht="76.5" x14ac:dyDescent="0.2">
      <c r="A437" s="5" t="str">
        <f>HYPERLINK("http://www.patentics.cn/invokexml.do?sf=ShowPatent&amp;spn=US9445438&amp;sv=6cc0d9a022ec8ba4a2e3f9d576dc40a8","US9445438")</f>
        <v>US9445438</v>
      </c>
      <c r="B437" s="3" t="s">
        <v>1421</v>
      </c>
      <c r="C437" s="3" t="s">
        <v>1408</v>
      </c>
      <c r="D437" s="3" t="s">
        <v>52</v>
      </c>
      <c r="E437" s="3" t="s">
        <v>52</v>
      </c>
      <c r="F437" s="3" t="s">
        <v>1409</v>
      </c>
      <c r="G437" s="3" t="s">
        <v>1410</v>
      </c>
      <c r="H437" s="3" t="s">
        <v>0</v>
      </c>
      <c r="I437" s="3" t="s">
        <v>1412</v>
      </c>
      <c r="J437" s="3" t="s">
        <v>1422</v>
      </c>
      <c r="K437" s="3" t="s">
        <v>1020</v>
      </c>
      <c r="L437" s="3" t="s">
        <v>1021</v>
      </c>
      <c r="M437" s="3" t="s">
        <v>82</v>
      </c>
      <c r="N437" s="3" t="s">
        <v>1423</v>
      </c>
      <c r="O437" s="3">
        <v>0</v>
      </c>
      <c r="P437" s="3">
        <v>12</v>
      </c>
      <c r="Q437" s="3" t="s">
        <v>60</v>
      </c>
      <c r="R437" s="3" t="s">
        <v>61</v>
      </c>
      <c r="S437" s="3">
        <v>104</v>
      </c>
      <c r="T437" s="3">
        <v>14</v>
      </c>
      <c r="U437" s="3">
        <v>90</v>
      </c>
      <c r="V437" s="3">
        <v>37</v>
      </c>
      <c r="W437" s="3">
        <v>0</v>
      </c>
      <c r="X437" s="3" t="s">
        <v>147</v>
      </c>
      <c r="Y437" s="3">
        <v>0</v>
      </c>
      <c r="Z437" s="3">
        <v>0</v>
      </c>
      <c r="AA437" s="3">
        <v>0</v>
      </c>
      <c r="AB437" s="3">
        <v>0</v>
      </c>
      <c r="AC437" s="3">
        <v>0</v>
      </c>
      <c r="AD437" s="3">
        <v>0</v>
      </c>
      <c r="AE437" s="3">
        <v>14</v>
      </c>
      <c r="AF437" s="3" t="s">
        <v>0</v>
      </c>
      <c r="AG437" s="3" t="s">
        <v>49</v>
      </c>
    </row>
    <row r="438" spans="1:33" ht="76.5" x14ac:dyDescent="0.2">
      <c r="A438" s="4" t="str">
        <f>HYPERLINK("http://www.patentics.cn/invokexml.do?sf=ShowPatent&amp;spn=EP1950903&amp;sv=2a4321e8fb1aba9ca8190bf5df6fb13f","EP1950903")</f>
        <v>EP1950903</v>
      </c>
      <c r="B438" s="2" t="s">
        <v>1973</v>
      </c>
      <c r="C438" s="2" t="s">
        <v>1974</v>
      </c>
      <c r="D438" s="2" t="s">
        <v>346</v>
      </c>
      <c r="E438" s="2" t="s">
        <v>346</v>
      </c>
      <c r="F438" s="2" t="s">
        <v>1975</v>
      </c>
      <c r="G438" s="2" t="s">
        <v>1976</v>
      </c>
      <c r="H438" s="2" t="s">
        <v>1977</v>
      </c>
      <c r="I438" s="2" t="s">
        <v>1978</v>
      </c>
      <c r="J438" s="2" t="s">
        <v>1979</v>
      </c>
      <c r="K438" s="2" t="s">
        <v>58</v>
      </c>
      <c r="L438" s="2" t="s">
        <v>1980</v>
      </c>
      <c r="M438" s="2" t="s">
        <v>58</v>
      </c>
      <c r="N438" s="2" t="s">
        <v>1981</v>
      </c>
      <c r="O438" s="2">
        <v>7</v>
      </c>
      <c r="P438" s="2">
        <v>26</v>
      </c>
      <c r="Q438" s="2" t="s">
        <v>352</v>
      </c>
      <c r="R438" s="2" t="s">
        <v>47</v>
      </c>
      <c r="S438" s="2">
        <v>3</v>
      </c>
      <c r="T438" s="2">
        <v>0</v>
      </c>
      <c r="U438" s="2">
        <v>3</v>
      </c>
      <c r="V438" s="2">
        <v>3</v>
      </c>
      <c r="W438" s="2">
        <v>10</v>
      </c>
      <c r="X438" s="2" t="s">
        <v>1982</v>
      </c>
      <c r="Y438" s="2">
        <v>0</v>
      </c>
      <c r="Z438" s="2">
        <v>10</v>
      </c>
      <c r="AA438" s="2">
        <v>4</v>
      </c>
      <c r="AB438" s="2">
        <v>3</v>
      </c>
      <c r="AC438" s="2">
        <v>11</v>
      </c>
      <c r="AD438" s="2">
        <v>7</v>
      </c>
      <c r="AE438" s="2" t="s">
        <v>0</v>
      </c>
      <c r="AF438" s="2">
        <v>6</v>
      </c>
      <c r="AG438" s="2" t="s">
        <v>0</v>
      </c>
    </row>
    <row r="439" spans="1:33" ht="153" x14ac:dyDescent="0.2">
      <c r="A439" s="5" t="str">
        <f>HYPERLINK("http://www.patentics.cn/invokexml.do?sf=ShowPatent&amp;spn=US8737211&amp;sv=7d17b53d848681df7d879a7ff2522693","US8737211")</f>
        <v>US8737211</v>
      </c>
      <c r="B439" s="3" t="s">
        <v>1983</v>
      </c>
      <c r="C439" s="3" t="s">
        <v>1984</v>
      </c>
      <c r="D439" s="3" t="s">
        <v>52</v>
      </c>
      <c r="E439" s="3" t="s">
        <v>52</v>
      </c>
      <c r="F439" s="3" t="s">
        <v>1985</v>
      </c>
      <c r="G439" s="3" t="s">
        <v>1113</v>
      </c>
      <c r="H439" s="3" t="s">
        <v>1986</v>
      </c>
      <c r="I439" s="3" t="s">
        <v>1528</v>
      </c>
      <c r="J439" s="3" t="s">
        <v>1987</v>
      </c>
      <c r="K439" s="3" t="s">
        <v>58</v>
      </c>
      <c r="L439" s="3" t="s">
        <v>763</v>
      </c>
      <c r="M439" s="3" t="s">
        <v>82</v>
      </c>
      <c r="N439" s="3" t="s">
        <v>1988</v>
      </c>
      <c r="O439" s="3">
        <v>0</v>
      </c>
      <c r="P439" s="3">
        <v>16</v>
      </c>
      <c r="Q439" s="3" t="s">
        <v>60</v>
      </c>
      <c r="R439" s="3" t="s">
        <v>61</v>
      </c>
      <c r="S439" s="3">
        <v>97</v>
      </c>
      <c r="T439" s="3">
        <v>18</v>
      </c>
      <c r="U439" s="3">
        <v>79</v>
      </c>
      <c r="V439" s="3">
        <v>25</v>
      </c>
      <c r="W439" s="3">
        <v>2</v>
      </c>
      <c r="X439" s="3" t="s">
        <v>108</v>
      </c>
      <c r="Y439" s="3">
        <v>2</v>
      </c>
      <c r="Z439" s="3">
        <v>0</v>
      </c>
      <c r="AA439" s="3">
        <v>1</v>
      </c>
      <c r="AB439" s="3">
        <v>1</v>
      </c>
      <c r="AC439" s="3">
        <v>10</v>
      </c>
      <c r="AD439" s="3">
        <v>6</v>
      </c>
      <c r="AE439" s="3">
        <v>14</v>
      </c>
      <c r="AF439" s="3" t="s">
        <v>0</v>
      </c>
      <c r="AG439" s="3" t="s">
        <v>49</v>
      </c>
    </row>
    <row r="440" spans="1:33" ht="114.75" x14ac:dyDescent="0.2">
      <c r="A440" s="5" t="str">
        <f>HYPERLINK("http://www.patentics.cn/invokexml.do?sf=ShowPatent&amp;spn=US8891356&amp;sv=14fbfdc391973cb4372a306c04cc747b","US8891356")</f>
        <v>US8891356</v>
      </c>
      <c r="B440" s="3" t="s">
        <v>1989</v>
      </c>
      <c r="C440" s="3" t="s">
        <v>1990</v>
      </c>
      <c r="D440" s="3" t="s">
        <v>52</v>
      </c>
      <c r="E440" s="3" t="s">
        <v>52</v>
      </c>
      <c r="F440" s="3" t="s">
        <v>1991</v>
      </c>
      <c r="G440" s="3" t="s">
        <v>1113</v>
      </c>
      <c r="H440" s="3" t="s">
        <v>1992</v>
      </c>
      <c r="I440" s="3" t="s">
        <v>663</v>
      </c>
      <c r="J440" s="3" t="s">
        <v>1993</v>
      </c>
      <c r="K440" s="3" t="s">
        <v>1020</v>
      </c>
      <c r="L440" s="3" t="s">
        <v>1021</v>
      </c>
      <c r="M440" s="3" t="s">
        <v>58</v>
      </c>
      <c r="N440" s="3" t="s">
        <v>1994</v>
      </c>
      <c r="O440" s="3">
        <v>0</v>
      </c>
      <c r="P440" s="3">
        <v>12</v>
      </c>
      <c r="Q440" s="3" t="s">
        <v>60</v>
      </c>
      <c r="R440" s="3" t="s">
        <v>61</v>
      </c>
      <c r="S440" s="3">
        <v>127</v>
      </c>
      <c r="T440" s="3">
        <v>21</v>
      </c>
      <c r="U440" s="3">
        <v>106</v>
      </c>
      <c r="V440" s="3">
        <v>27</v>
      </c>
      <c r="W440" s="3">
        <v>6</v>
      </c>
      <c r="X440" s="3" t="s">
        <v>147</v>
      </c>
      <c r="Y440" s="3">
        <v>0</v>
      </c>
      <c r="Z440" s="3">
        <v>6</v>
      </c>
      <c r="AA440" s="3">
        <v>0</v>
      </c>
      <c r="AB440" s="3">
        <v>1</v>
      </c>
      <c r="AC440" s="3">
        <v>25</v>
      </c>
      <c r="AD440" s="3">
        <v>6</v>
      </c>
      <c r="AE440" s="3">
        <v>14</v>
      </c>
      <c r="AF440" s="3" t="s">
        <v>0</v>
      </c>
      <c r="AG440" s="3" t="s">
        <v>49</v>
      </c>
    </row>
    <row r="441" spans="1:33" ht="102" x14ac:dyDescent="0.2">
      <c r="A441" s="5" t="str">
        <f>HYPERLINK("http://www.patentics.cn/invokexml.do?sf=ShowPatent&amp;spn=US8989004&amp;sv=5f5119708d1c02a4ece2bc004a4a0534","US8989004")</f>
        <v>US8989004</v>
      </c>
      <c r="B441" s="3" t="s">
        <v>1995</v>
      </c>
      <c r="C441" s="3" t="s">
        <v>1996</v>
      </c>
      <c r="D441" s="3" t="s">
        <v>52</v>
      </c>
      <c r="E441" s="3" t="s">
        <v>52</v>
      </c>
      <c r="F441" s="3" t="s">
        <v>1997</v>
      </c>
      <c r="G441" s="3" t="s">
        <v>1113</v>
      </c>
      <c r="H441" s="3" t="s">
        <v>1998</v>
      </c>
      <c r="I441" s="3" t="s">
        <v>1999</v>
      </c>
      <c r="J441" s="3" t="s">
        <v>812</v>
      </c>
      <c r="K441" s="3" t="s">
        <v>58</v>
      </c>
      <c r="L441" s="3" t="s">
        <v>613</v>
      </c>
      <c r="M441" s="3" t="s">
        <v>58</v>
      </c>
      <c r="N441" s="3" t="s">
        <v>2000</v>
      </c>
      <c r="O441" s="3">
        <v>0</v>
      </c>
      <c r="P441" s="3">
        <v>20</v>
      </c>
      <c r="Q441" s="3" t="s">
        <v>60</v>
      </c>
      <c r="R441" s="3" t="s">
        <v>61</v>
      </c>
      <c r="S441" s="3">
        <v>129</v>
      </c>
      <c r="T441" s="3">
        <v>22</v>
      </c>
      <c r="U441" s="3">
        <v>107</v>
      </c>
      <c r="V441" s="3">
        <v>27</v>
      </c>
      <c r="W441" s="3">
        <v>1</v>
      </c>
      <c r="X441" s="3" t="s">
        <v>670</v>
      </c>
      <c r="Y441" s="3">
        <v>1</v>
      </c>
      <c r="Z441" s="3">
        <v>0</v>
      </c>
      <c r="AA441" s="3">
        <v>1</v>
      </c>
      <c r="AB441" s="3">
        <v>1</v>
      </c>
      <c r="AC441" s="3">
        <v>8</v>
      </c>
      <c r="AD441" s="3">
        <v>6</v>
      </c>
      <c r="AE441" s="3">
        <v>14</v>
      </c>
      <c r="AF441" s="3" t="s">
        <v>0</v>
      </c>
      <c r="AG441" s="3" t="s">
        <v>49</v>
      </c>
    </row>
    <row r="442" spans="1:33" ht="114.75" x14ac:dyDescent="0.2">
      <c r="A442" s="5" t="str">
        <f>HYPERLINK("http://www.patentics.cn/invokexml.do?sf=ShowPatent&amp;spn=US8989140&amp;sv=1d459ecbf65d457f51da48746762de84","US8989140")</f>
        <v>US8989140</v>
      </c>
      <c r="B442" s="3" t="s">
        <v>2001</v>
      </c>
      <c r="C442" s="3" t="s">
        <v>2002</v>
      </c>
      <c r="D442" s="3" t="s">
        <v>52</v>
      </c>
      <c r="E442" s="3" t="s">
        <v>52</v>
      </c>
      <c r="F442" s="3" t="s">
        <v>1991</v>
      </c>
      <c r="G442" s="3" t="s">
        <v>1113</v>
      </c>
      <c r="H442" s="3" t="s">
        <v>1992</v>
      </c>
      <c r="I442" s="3" t="s">
        <v>663</v>
      </c>
      <c r="J442" s="3" t="s">
        <v>812</v>
      </c>
      <c r="K442" s="3" t="s">
        <v>82</v>
      </c>
      <c r="L442" s="3" t="s">
        <v>83</v>
      </c>
      <c r="M442" s="3" t="s">
        <v>82</v>
      </c>
      <c r="N442" s="3" t="s">
        <v>2003</v>
      </c>
      <c r="O442" s="3">
        <v>0</v>
      </c>
      <c r="P442" s="3">
        <v>20</v>
      </c>
      <c r="Q442" s="3" t="s">
        <v>60</v>
      </c>
      <c r="R442" s="3" t="s">
        <v>61</v>
      </c>
      <c r="S442" s="3">
        <v>129</v>
      </c>
      <c r="T442" s="3">
        <v>22</v>
      </c>
      <c r="U442" s="3">
        <v>107</v>
      </c>
      <c r="V442" s="3">
        <v>27</v>
      </c>
      <c r="W442" s="3">
        <v>8</v>
      </c>
      <c r="X442" s="3" t="s">
        <v>423</v>
      </c>
      <c r="Y442" s="3">
        <v>0</v>
      </c>
      <c r="Z442" s="3">
        <v>8</v>
      </c>
      <c r="AA442" s="3">
        <v>1</v>
      </c>
      <c r="AB442" s="3">
        <v>2</v>
      </c>
      <c r="AC442" s="3">
        <v>25</v>
      </c>
      <c r="AD442" s="3">
        <v>6</v>
      </c>
      <c r="AE442" s="3">
        <v>14</v>
      </c>
      <c r="AF442" s="3" t="s">
        <v>0</v>
      </c>
      <c r="AG442" s="3" t="s">
        <v>49</v>
      </c>
    </row>
    <row r="443" spans="1:33" ht="127.5" x14ac:dyDescent="0.2">
      <c r="A443" s="5" t="str">
        <f>HYPERLINK("http://www.patentics.cn/invokexml.do?sf=ShowPatent&amp;spn=US9125098&amp;sv=7303b955bedfdac15db6122c23c5bc2d","US9125098")</f>
        <v>US9125098</v>
      </c>
      <c r="B443" s="3" t="s">
        <v>2004</v>
      </c>
      <c r="C443" s="3" t="s">
        <v>2005</v>
      </c>
      <c r="D443" s="3" t="s">
        <v>52</v>
      </c>
      <c r="E443" s="3" t="s">
        <v>52</v>
      </c>
      <c r="F443" s="3" t="s">
        <v>2006</v>
      </c>
      <c r="G443" s="3" t="s">
        <v>1113</v>
      </c>
      <c r="H443" s="3" t="s">
        <v>1986</v>
      </c>
      <c r="I443" s="3" t="s">
        <v>1528</v>
      </c>
      <c r="J443" s="3" t="s">
        <v>816</v>
      </c>
      <c r="K443" s="3" t="s">
        <v>82</v>
      </c>
      <c r="L443" s="3" t="s">
        <v>2007</v>
      </c>
      <c r="M443" s="3" t="s">
        <v>0</v>
      </c>
      <c r="N443" s="3" t="s">
        <v>0</v>
      </c>
      <c r="O443" s="3">
        <v>0</v>
      </c>
      <c r="P443" s="3">
        <v>15</v>
      </c>
      <c r="Q443" s="3" t="s">
        <v>60</v>
      </c>
      <c r="R443" s="3" t="s">
        <v>61</v>
      </c>
      <c r="S443" s="3">
        <v>148</v>
      </c>
      <c r="T443" s="3">
        <v>25</v>
      </c>
      <c r="U443" s="3">
        <v>123</v>
      </c>
      <c r="V443" s="3">
        <v>32</v>
      </c>
      <c r="W443" s="3">
        <v>0</v>
      </c>
      <c r="X443" s="3" t="s">
        <v>147</v>
      </c>
      <c r="Y443" s="3">
        <v>0</v>
      </c>
      <c r="Z443" s="3">
        <v>0</v>
      </c>
      <c r="AA443" s="3">
        <v>0</v>
      </c>
      <c r="AB443" s="3">
        <v>0</v>
      </c>
      <c r="AC443" s="3">
        <v>10</v>
      </c>
      <c r="AD443" s="3">
        <v>6</v>
      </c>
      <c r="AE443" s="3">
        <v>14</v>
      </c>
      <c r="AF443" s="3" t="s">
        <v>0</v>
      </c>
      <c r="AG443" s="3" t="s">
        <v>49</v>
      </c>
    </row>
    <row r="444" spans="1:33" ht="127.5" x14ac:dyDescent="0.2">
      <c r="A444" s="5" t="str">
        <f>HYPERLINK("http://www.patentics.cn/invokexml.do?sf=ShowPatent&amp;spn=WO2013020050&amp;sv=ec3c52d1011b8421d6bb9ac5c92e918e","WO2013020050")</f>
        <v>WO2013020050</v>
      </c>
      <c r="B444" s="3" t="s">
        <v>2008</v>
      </c>
      <c r="C444" s="3" t="s">
        <v>1984</v>
      </c>
      <c r="D444" s="3" t="s">
        <v>2009</v>
      </c>
      <c r="E444" s="3" t="s">
        <v>2010</v>
      </c>
      <c r="F444" s="3" t="s">
        <v>2011</v>
      </c>
      <c r="G444" s="3" t="s">
        <v>2012</v>
      </c>
      <c r="H444" s="3" t="s">
        <v>1986</v>
      </c>
      <c r="I444" s="3" t="s">
        <v>2013</v>
      </c>
      <c r="J444" s="3" t="s">
        <v>2014</v>
      </c>
      <c r="K444" s="3" t="s">
        <v>82</v>
      </c>
      <c r="L444" s="3" t="s">
        <v>2015</v>
      </c>
      <c r="M444" s="3" t="s">
        <v>0</v>
      </c>
      <c r="N444" s="3" t="s">
        <v>0</v>
      </c>
      <c r="O444" s="3">
        <v>40</v>
      </c>
      <c r="P444" s="3">
        <v>13</v>
      </c>
      <c r="Q444" s="3" t="s">
        <v>352</v>
      </c>
      <c r="R444" s="3" t="s">
        <v>61</v>
      </c>
      <c r="S444" s="3">
        <v>5</v>
      </c>
      <c r="T444" s="3">
        <v>2</v>
      </c>
      <c r="U444" s="3">
        <v>3</v>
      </c>
      <c r="V444" s="3">
        <v>3</v>
      </c>
      <c r="W444" s="3">
        <v>0</v>
      </c>
      <c r="X444" s="3" t="s">
        <v>147</v>
      </c>
      <c r="Y444" s="3">
        <v>0</v>
      </c>
      <c r="Z444" s="3">
        <v>0</v>
      </c>
      <c r="AA444" s="3">
        <v>0</v>
      </c>
      <c r="AB444" s="3">
        <v>0</v>
      </c>
      <c r="AC444" s="3">
        <v>10</v>
      </c>
      <c r="AD444" s="3">
        <v>6</v>
      </c>
      <c r="AE444" s="3">
        <v>14</v>
      </c>
      <c r="AF444" s="3" t="s">
        <v>0</v>
      </c>
      <c r="AG444" s="3" t="s">
        <v>0</v>
      </c>
    </row>
    <row r="445" spans="1:33" x14ac:dyDescent="0.2">
      <c r="A445" s="4" t="str">
        <f>HYPERLINK("http://www.patentics.cn/invokexml.do?sf=ShowPatent&amp;spn=CN102186167&amp;sv=f04e0bca1762b94a88fc7a60819a0256","CN102186167")</f>
        <v>CN102186167</v>
      </c>
      <c r="B445" s="2" t="s">
        <v>2016</v>
      </c>
      <c r="C445" s="2" t="s">
        <v>2017</v>
      </c>
      <c r="D445" s="2" t="s">
        <v>38</v>
      </c>
      <c r="E445" s="2" t="s">
        <v>38</v>
      </c>
      <c r="F445" s="2" t="s">
        <v>2018</v>
      </c>
      <c r="G445" s="2" t="s">
        <v>2018</v>
      </c>
      <c r="H445" s="2" t="s">
        <v>1145</v>
      </c>
      <c r="I445" s="2" t="s">
        <v>1145</v>
      </c>
      <c r="J445" s="2" t="s">
        <v>2019</v>
      </c>
      <c r="K445" s="2" t="s">
        <v>82</v>
      </c>
      <c r="L445" s="2" t="s">
        <v>2020</v>
      </c>
      <c r="M445" s="2" t="s">
        <v>0</v>
      </c>
      <c r="N445" s="2" t="s">
        <v>0</v>
      </c>
      <c r="O445" s="2">
        <v>11</v>
      </c>
      <c r="P445" s="2">
        <v>12</v>
      </c>
      <c r="Q445" s="2" t="s">
        <v>46</v>
      </c>
      <c r="R445" s="2" t="s">
        <v>47</v>
      </c>
      <c r="S445" s="2">
        <v>0</v>
      </c>
      <c r="T445" s="2">
        <v>0</v>
      </c>
      <c r="U445" s="2">
        <v>0</v>
      </c>
      <c r="V445" s="2">
        <v>0</v>
      </c>
      <c r="W445" s="2">
        <v>13</v>
      </c>
      <c r="X445" s="2" t="s">
        <v>2021</v>
      </c>
      <c r="Y445" s="2">
        <v>4</v>
      </c>
      <c r="Z445" s="2">
        <v>9</v>
      </c>
      <c r="AA445" s="2">
        <v>4</v>
      </c>
      <c r="AB445" s="2">
        <v>3</v>
      </c>
      <c r="AC445" s="2">
        <v>1</v>
      </c>
      <c r="AD445" s="2">
        <v>2</v>
      </c>
      <c r="AE445" s="2" t="s">
        <v>0</v>
      </c>
      <c r="AF445" s="2">
        <v>6</v>
      </c>
      <c r="AG445" s="2" t="s">
        <v>49</v>
      </c>
    </row>
    <row r="446" spans="1:33" ht="102" x14ac:dyDescent="0.2">
      <c r="A446" s="5" t="str">
        <f>HYPERLINK("http://www.patentics.cn/invokexml.do?sf=ShowPatent&amp;spn=US9137737&amp;sv=12689dac78805c3504b4cd52f816a513","US9137737")</f>
        <v>US9137737</v>
      </c>
      <c r="B446" s="3" t="s">
        <v>2022</v>
      </c>
      <c r="C446" s="3" t="s">
        <v>2023</v>
      </c>
      <c r="D446" s="3" t="s">
        <v>52</v>
      </c>
      <c r="E446" s="3" t="s">
        <v>52</v>
      </c>
      <c r="F446" s="3" t="s">
        <v>2024</v>
      </c>
      <c r="G446" s="3" t="s">
        <v>1853</v>
      </c>
      <c r="H446" s="3" t="s">
        <v>2025</v>
      </c>
      <c r="I446" s="3" t="s">
        <v>2026</v>
      </c>
      <c r="J446" s="3" t="s">
        <v>225</v>
      </c>
      <c r="K446" s="3" t="s">
        <v>84</v>
      </c>
      <c r="L446" s="3" t="s">
        <v>411</v>
      </c>
      <c r="M446" s="3" t="s">
        <v>82</v>
      </c>
      <c r="N446" s="3" t="s">
        <v>2027</v>
      </c>
      <c r="O446" s="3">
        <v>0</v>
      </c>
      <c r="P446" s="3">
        <v>16</v>
      </c>
      <c r="Q446" s="3" t="s">
        <v>60</v>
      </c>
      <c r="R446" s="3" t="s">
        <v>61</v>
      </c>
      <c r="S446" s="3">
        <v>94</v>
      </c>
      <c r="T446" s="3">
        <v>10</v>
      </c>
      <c r="U446" s="3">
        <v>84</v>
      </c>
      <c r="V446" s="3">
        <v>43</v>
      </c>
      <c r="W446" s="3">
        <v>0</v>
      </c>
      <c r="X446" s="3" t="s">
        <v>147</v>
      </c>
      <c r="Y446" s="3">
        <v>0</v>
      </c>
      <c r="Z446" s="3">
        <v>0</v>
      </c>
      <c r="AA446" s="3">
        <v>0</v>
      </c>
      <c r="AB446" s="3">
        <v>0</v>
      </c>
      <c r="AC446" s="3">
        <v>8</v>
      </c>
      <c r="AD446" s="3">
        <v>6</v>
      </c>
      <c r="AE446" s="3">
        <v>14</v>
      </c>
      <c r="AF446" s="3" t="s">
        <v>0</v>
      </c>
      <c r="AG446" s="3" t="s">
        <v>49</v>
      </c>
    </row>
    <row r="447" spans="1:33" ht="38.25" x14ac:dyDescent="0.2">
      <c r="A447" s="5" t="str">
        <f>HYPERLINK("http://www.patentics.cn/invokexml.do?sf=ShowPatent&amp;spn=US9178965&amp;sv=2fa506ecff96e1187df0aead86419bf3","US9178965")</f>
        <v>US9178965</v>
      </c>
      <c r="B447" s="3" t="s">
        <v>2028</v>
      </c>
      <c r="C447" s="3" t="s">
        <v>2029</v>
      </c>
      <c r="D447" s="3" t="s">
        <v>52</v>
      </c>
      <c r="E447" s="3" t="s">
        <v>52</v>
      </c>
      <c r="F447" s="3" t="s">
        <v>2030</v>
      </c>
      <c r="G447" s="3" t="s">
        <v>2030</v>
      </c>
      <c r="H447" s="3" t="s">
        <v>1693</v>
      </c>
      <c r="I447" s="3" t="s">
        <v>1693</v>
      </c>
      <c r="J447" s="3" t="s">
        <v>269</v>
      </c>
      <c r="K447" s="3" t="s">
        <v>43</v>
      </c>
      <c r="L447" s="3" t="s">
        <v>57</v>
      </c>
      <c r="M447" s="3" t="s">
        <v>58</v>
      </c>
      <c r="N447" s="3" t="s">
        <v>2031</v>
      </c>
      <c r="O447" s="3">
        <v>0</v>
      </c>
      <c r="P447" s="3">
        <v>5</v>
      </c>
      <c r="Q447" s="3" t="s">
        <v>60</v>
      </c>
      <c r="R447" s="3" t="s">
        <v>61</v>
      </c>
      <c r="S447" s="3">
        <v>113</v>
      </c>
      <c r="T447" s="3">
        <v>12</v>
      </c>
      <c r="U447" s="3">
        <v>101</v>
      </c>
      <c r="V447" s="3">
        <v>52</v>
      </c>
      <c r="W447" s="3">
        <v>3</v>
      </c>
      <c r="X447" s="3" t="s">
        <v>1232</v>
      </c>
      <c r="Y447" s="3">
        <v>1</v>
      </c>
      <c r="Z447" s="3">
        <v>2</v>
      </c>
      <c r="AA447" s="3">
        <v>2</v>
      </c>
      <c r="AB447" s="3">
        <v>1</v>
      </c>
      <c r="AC447" s="3">
        <v>5</v>
      </c>
      <c r="AD447" s="3">
        <v>6</v>
      </c>
      <c r="AE447" s="3">
        <v>14</v>
      </c>
      <c r="AF447" s="3" t="s">
        <v>0</v>
      </c>
      <c r="AG447" s="3" t="s">
        <v>49</v>
      </c>
    </row>
    <row r="448" spans="1:33" ht="267.75" x14ac:dyDescent="0.2">
      <c r="A448" s="5" t="str">
        <f>HYPERLINK("http://www.patentics.cn/invokexml.do?sf=ShowPatent&amp;spn=US9264868&amp;sv=72bbc284092aa87f2e24a2f1aa9cd8e7","US9264868")</f>
        <v>US9264868</v>
      </c>
      <c r="B448" s="3" t="s">
        <v>2032</v>
      </c>
      <c r="C448" s="3" t="s">
        <v>2033</v>
      </c>
      <c r="D448" s="3" t="s">
        <v>52</v>
      </c>
      <c r="E448" s="3" t="s">
        <v>52</v>
      </c>
      <c r="F448" s="3" t="s">
        <v>2034</v>
      </c>
      <c r="G448" s="3" t="s">
        <v>2035</v>
      </c>
      <c r="H448" s="3" t="s">
        <v>1069</v>
      </c>
      <c r="I448" s="3" t="s">
        <v>1693</v>
      </c>
      <c r="J448" s="3" t="s">
        <v>664</v>
      </c>
      <c r="K448" s="3" t="s">
        <v>555</v>
      </c>
      <c r="L448" s="3" t="s">
        <v>1553</v>
      </c>
      <c r="M448" s="3" t="s">
        <v>82</v>
      </c>
      <c r="N448" s="3" t="s">
        <v>2036</v>
      </c>
      <c r="O448" s="3">
        <v>0</v>
      </c>
      <c r="P448" s="3">
        <v>15</v>
      </c>
      <c r="Q448" s="3" t="s">
        <v>60</v>
      </c>
      <c r="R448" s="3" t="s">
        <v>61</v>
      </c>
      <c r="S448" s="3">
        <v>111</v>
      </c>
      <c r="T448" s="3">
        <v>11</v>
      </c>
      <c r="U448" s="3">
        <v>100</v>
      </c>
      <c r="V448" s="3">
        <v>52</v>
      </c>
      <c r="W448" s="3">
        <v>1</v>
      </c>
      <c r="X448" s="3" t="s">
        <v>147</v>
      </c>
      <c r="Y448" s="3">
        <v>1</v>
      </c>
      <c r="Z448" s="3">
        <v>0</v>
      </c>
      <c r="AA448" s="3">
        <v>1</v>
      </c>
      <c r="AB448" s="3">
        <v>1</v>
      </c>
      <c r="AC448" s="3">
        <v>1</v>
      </c>
      <c r="AD448" s="3">
        <v>1</v>
      </c>
      <c r="AE448" s="3">
        <v>14</v>
      </c>
      <c r="AF448" s="3" t="s">
        <v>0</v>
      </c>
      <c r="AG448" s="3" t="s">
        <v>49</v>
      </c>
    </row>
    <row r="449" spans="1:33" ht="89.25" x14ac:dyDescent="0.2">
      <c r="A449" s="5" t="str">
        <f>HYPERLINK("http://www.patentics.cn/invokexml.do?sf=ShowPatent&amp;spn=US9571952&amp;sv=276fca6452045e9a21c11b92641a4649","US9571952")</f>
        <v>US9571952</v>
      </c>
      <c r="B449" s="3" t="s">
        <v>2037</v>
      </c>
      <c r="C449" s="3" t="s">
        <v>2038</v>
      </c>
      <c r="D449" s="3" t="s">
        <v>52</v>
      </c>
      <c r="E449" s="3" t="s">
        <v>52</v>
      </c>
      <c r="F449" s="3" t="s">
        <v>2039</v>
      </c>
      <c r="G449" s="3" t="s">
        <v>1853</v>
      </c>
      <c r="H449" s="3" t="s">
        <v>2040</v>
      </c>
      <c r="I449" s="3" t="s">
        <v>2041</v>
      </c>
      <c r="J449" s="3" t="s">
        <v>866</v>
      </c>
      <c r="K449" s="3" t="s">
        <v>82</v>
      </c>
      <c r="L449" s="3" t="s">
        <v>2042</v>
      </c>
      <c r="M449" s="3" t="s">
        <v>82</v>
      </c>
      <c r="N449" s="3" t="s">
        <v>2043</v>
      </c>
      <c r="O449" s="3">
        <v>0</v>
      </c>
      <c r="P449" s="3">
        <v>36</v>
      </c>
      <c r="Q449" s="3" t="s">
        <v>60</v>
      </c>
      <c r="R449" s="3" t="s">
        <v>61</v>
      </c>
      <c r="S449" s="3">
        <v>96</v>
      </c>
      <c r="T449" s="3">
        <v>10</v>
      </c>
      <c r="U449" s="3">
        <v>86</v>
      </c>
      <c r="V449" s="3">
        <v>45</v>
      </c>
      <c r="W449" s="3">
        <v>0</v>
      </c>
      <c r="X449" s="3" t="s">
        <v>147</v>
      </c>
      <c r="Y449" s="3">
        <v>0</v>
      </c>
      <c r="Z449" s="3">
        <v>0</v>
      </c>
      <c r="AA449" s="3">
        <v>0</v>
      </c>
      <c r="AB449" s="3">
        <v>0</v>
      </c>
      <c r="AC449" s="3">
        <v>7</v>
      </c>
      <c r="AD449" s="3">
        <v>6</v>
      </c>
      <c r="AE449" s="3">
        <v>14</v>
      </c>
      <c r="AF449" s="3" t="s">
        <v>0</v>
      </c>
      <c r="AG449" s="3" t="s">
        <v>49</v>
      </c>
    </row>
    <row r="450" spans="1:33" ht="204" x14ac:dyDescent="0.2">
      <c r="A450" s="5" t="str">
        <f>HYPERLINK("http://www.patentics.cn/invokexml.do?sf=ShowPatent&amp;spn=US9603085&amp;sv=a04c4fc7aa2c382359d6796d70b29dd2","US9603085")</f>
        <v>US9603085</v>
      </c>
      <c r="B450" s="3" t="s">
        <v>2044</v>
      </c>
      <c r="C450" s="3" t="s">
        <v>2045</v>
      </c>
      <c r="D450" s="3" t="s">
        <v>52</v>
      </c>
      <c r="E450" s="3" t="s">
        <v>52</v>
      </c>
      <c r="F450" s="3" t="s">
        <v>2046</v>
      </c>
      <c r="G450" s="3" t="s">
        <v>2035</v>
      </c>
      <c r="H450" s="3" t="s">
        <v>0</v>
      </c>
      <c r="I450" s="3" t="s">
        <v>1513</v>
      </c>
      <c r="J450" s="3" t="s">
        <v>739</v>
      </c>
      <c r="K450" s="3" t="s">
        <v>82</v>
      </c>
      <c r="L450" s="3" t="s">
        <v>2047</v>
      </c>
      <c r="M450" s="3" t="s">
        <v>82</v>
      </c>
      <c r="N450" s="3" t="s">
        <v>2048</v>
      </c>
      <c r="O450" s="3">
        <v>0</v>
      </c>
      <c r="P450" s="3">
        <v>21</v>
      </c>
      <c r="Q450" s="3" t="s">
        <v>60</v>
      </c>
      <c r="R450" s="3" t="s">
        <v>61</v>
      </c>
      <c r="S450" s="3">
        <v>121</v>
      </c>
      <c r="T450" s="3">
        <v>14</v>
      </c>
      <c r="U450" s="3">
        <v>107</v>
      </c>
      <c r="V450" s="3">
        <v>53</v>
      </c>
      <c r="W450" s="3">
        <v>0</v>
      </c>
      <c r="X450" s="3" t="s">
        <v>147</v>
      </c>
      <c r="Y450" s="3">
        <v>0</v>
      </c>
      <c r="Z450" s="3">
        <v>0</v>
      </c>
      <c r="AA450" s="3">
        <v>0</v>
      </c>
      <c r="AB450" s="3">
        <v>0</v>
      </c>
      <c r="AC450" s="3">
        <v>0</v>
      </c>
      <c r="AD450" s="3">
        <v>0</v>
      </c>
      <c r="AE450" s="3">
        <v>14</v>
      </c>
      <c r="AF450" s="3" t="s">
        <v>0</v>
      </c>
      <c r="AG450" s="3" t="s">
        <v>49</v>
      </c>
    </row>
    <row r="451" spans="1:33" ht="25.5" x14ac:dyDescent="0.2">
      <c r="A451" s="5" t="str">
        <f>HYPERLINK("http://www.patentics.cn/invokexml.do?sf=ShowPatent&amp;spn=CN103918320B&amp;sv=80e4e0b8e8a79141baabd099c16d9bb6","CN103918320B")</f>
        <v>CN103918320B</v>
      </c>
      <c r="B451" s="3" t="s">
        <v>2049</v>
      </c>
      <c r="C451" s="3" t="s">
        <v>2050</v>
      </c>
      <c r="D451" s="3" t="s">
        <v>338</v>
      </c>
      <c r="E451" s="3" t="s">
        <v>338</v>
      </c>
      <c r="F451" s="3" t="s">
        <v>2051</v>
      </c>
      <c r="G451" s="3" t="s">
        <v>2052</v>
      </c>
      <c r="H451" s="3" t="s">
        <v>2053</v>
      </c>
      <c r="I451" s="3" t="s">
        <v>2054</v>
      </c>
      <c r="J451" s="3" t="s">
        <v>2055</v>
      </c>
      <c r="K451" s="3" t="s">
        <v>82</v>
      </c>
      <c r="L451" s="3" t="s">
        <v>516</v>
      </c>
      <c r="M451" s="3" t="s">
        <v>0</v>
      </c>
      <c r="N451" s="3" t="s">
        <v>0</v>
      </c>
      <c r="O451" s="3">
        <v>66</v>
      </c>
      <c r="P451" s="3">
        <v>17</v>
      </c>
      <c r="Q451" s="3" t="s">
        <v>60</v>
      </c>
      <c r="R451" s="3" t="s">
        <v>61</v>
      </c>
      <c r="S451" s="3">
        <v>5</v>
      </c>
      <c r="T451" s="3">
        <v>0</v>
      </c>
      <c r="U451" s="3">
        <v>5</v>
      </c>
      <c r="V451" s="3">
        <v>4</v>
      </c>
      <c r="W451" s="3">
        <v>0</v>
      </c>
      <c r="X451" s="3" t="s">
        <v>147</v>
      </c>
      <c r="Y451" s="3">
        <v>0</v>
      </c>
      <c r="Z451" s="3">
        <v>0</v>
      </c>
      <c r="AA451" s="3">
        <v>0</v>
      </c>
      <c r="AB451" s="3">
        <v>0</v>
      </c>
      <c r="AC451" s="3">
        <v>0</v>
      </c>
      <c r="AD451" s="3">
        <v>0</v>
      </c>
      <c r="AE451" s="3">
        <v>14</v>
      </c>
      <c r="AF451" s="3" t="s">
        <v>0</v>
      </c>
      <c r="AG451" s="3" t="s">
        <v>49</v>
      </c>
    </row>
    <row r="452" spans="1:33" ht="25.5" x14ac:dyDescent="0.2">
      <c r="A452" s="4" t="str">
        <f>HYPERLINK("http://www.patentics.cn/invokexml.do?sf=ShowPatent&amp;spn=CN101262674&amp;sv=b5e941699e1f48a4f7a3a2918fdc8c1f","CN101262674")</f>
        <v>CN101262674</v>
      </c>
      <c r="B452" s="2" t="s">
        <v>2056</v>
      </c>
      <c r="C452" s="2" t="s">
        <v>2057</v>
      </c>
      <c r="D452" s="2" t="s">
        <v>38</v>
      </c>
      <c r="E452" s="2" t="s">
        <v>38</v>
      </c>
      <c r="F452" s="2" t="s">
        <v>2058</v>
      </c>
      <c r="G452" s="2" t="s">
        <v>2059</v>
      </c>
      <c r="H452" s="2" t="s">
        <v>0</v>
      </c>
      <c r="I452" s="2" t="s">
        <v>2060</v>
      </c>
      <c r="J452" s="2" t="s">
        <v>2061</v>
      </c>
      <c r="K452" s="2" t="s">
        <v>43</v>
      </c>
      <c r="L452" s="2" t="s">
        <v>2062</v>
      </c>
      <c r="M452" s="2" t="s">
        <v>84</v>
      </c>
      <c r="N452" s="2" t="s">
        <v>2063</v>
      </c>
      <c r="O452" s="2">
        <v>9</v>
      </c>
      <c r="P452" s="2">
        <v>16</v>
      </c>
      <c r="Q452" s="2" t="s">
        <v>46</v>
      </c>
      <c r="R452" s="2" t="s">
        <v>47</v>
      </c>
      <c r="S452" s="2">
        <v>0</v>
      </c>
      <c r="T452" s="2">
        <v>0</v>
      </c>
      <c r="U452" s="2">
        <v>0</v>
      </c>
      <c r="V452" s="2">
        <v>0</v>
      </c>
      <c r="W452" s="2">
        <v>13</v>
      </c>
      <c r="X452" s="2" t="s">
        <v>2064</v>
      </c>
      <c r="Y452" s="2">
        <v>5</v>
      </c>
      <c r="Z452" s="2">
        <v>8</v>
      </c>
      <c r="AA452" s="2">
        <v>4</v>
      </c>
      <c r="AB452" s="2">
        <v>5</v>
      </c>
      <c r="AC452" s="2">
        <v>0</v>
      </c>
      <c r="AD452" s="2">
        <v>0</v>
      </c>
      <c r="AE452" s="2" t="s">
        <v>0</v>
      </c>
      <c r="AF452" s="2">
        <v>6</v>
      </c>
      <c r="AG452" s="2" t="s">
        <v>547</v>
      </c>
    </row>
    <row r="453" spans="1:33" ht="51" x14ac:dyDescent="0.2">
      <c r="A453" s="5" t="str">
        <f>HYPERLINK("http://www.patentics.cn/invokexml.do?sf=ShowPatent&amp;spn=US8725145&amp;sv=0ea20d8c0af62a0fe3de1c6d6e46f0a5","US8725145")</f>
        <v>US8725145</v>
      </c>
      <c r="B453" s="3" t="s">
        <v>2065</v>
      </c>
      <c r="C453" s="3" t="s">
        <v>2066</v>
      </c>
      <c r="D453" s="3" t="s">
        <v>52</v>
      </c>
      <c r="E453" s="3" t="s">
        <v>52</v>
      </c>
      <c r="F453" s="3" t="s">
        <v>2067</v>
      </c>
      <c r="G453" s="3" t="s">
        <v>2068</v>
      </c>
      <c r="H453" s="3" t="s">
        <v>2069</v>
      </c>
      <c r="I453" s="3" t="s">
        <v>2070</v>
      </c>
      <c r="J453" s="3" t="s">
        <v>903</v>
      </c>
      <c r="K453" s="3" t="s">
        <v>82</v>
      </c>
      <c r="L453" s="3" t="s">
        <v>2071</v>
      </c>
      <c r="M453" s="3" t="s">
        <v>82</v>
      </c>
      <c r="N453" s="3" t="s">
        <v>2072</v>
      </c>
      <c r="O453" s="3">
        <v>0</v>
      </c>
      <c r="P453" s="3">
        <v>8</v>
      </c>
      <c r="Q453" s="3" t="s">
        <v>60</v>
      </c>
      <c r="R453" s="3" t="s">
        <v>61</v>
      </c>
      <c r="S453" s="3">
        <v>33</v>
      </c>
      <c r="T453" s="3">
        <v>8</v>
      </c>
      <c r="U453" s="3">
        <v>25</v>
      </c>
      <c r="V453" s="3">
        <v>17</v>
      </c>
      <c r="W453" s="3">
        <v>0</v>
      </c>
      <c r="X453" s="3" t="s">
        <v>147</v>
      </c>
      <c r="Y453" s="3">
        <v>0</v>
      </c>
      <c r="Z453" s="3">
        <v>0</v>
      </c>
      <c r="AA453" s="3">
        <v>0</v>
      </c>
      <c r="AB453" s="3">
        <v>0</v>
      </c>
      <c r="AC453" s="3">
        <v>6</v>
      </c>
      <c r="AD453" s="3">
        <v>6</v>
      </c>
      <c r="AE453" s="3">
        <v>14</v>
      </c>
      <c r="AF453" s="3" t="s">
        <v>0</v>
      </c>
      <c r="AG453" s="3" t="s">
        <v>49</v>
      </c>
    </row>
    <row r="454" spans="1:33" ht="38.25" x14ac:dyDescent="0.2">
      <c r="A454" s="5" t="str">
        <f>HYPERLINK("http://www.patentics.cn/invokexml.do?sf=ShowPatent&amp;spn=US9179329&amp;sv=71a6d2e8e896970e17a9e0fc56ce0522","US9179329")</f>
        <v>US9179329</v>
      </c>
      <c r="B454" s="3" t="s">
        <v>2073</v>
      </c>
      <c r="C454" s="3" t="s">
        <v>2074</v>
      </c>
      <c r="D454" s="3" t="s">
        <v>52</v>
      </c>
      <c r="E454" s="3" t="s">
        <v>52</v>
      </c>
      <c r="F454" s="3" t="s">
        <v>2075</v>
      </c>
      <c r="G454" s="3" t="s">
        <v>2076</v>
      </c>
      <c r="H454" s="3" t="s">
        <v>2077</v>
      </c>
      <c r="I454" s="3" t="s">
        <v>2078</v>
      </c>
      <c r="J454" s="3" t="s">
        <v>269</v>
      </c>
      <c r="K454" s="3" t="s">
        <v>84</v>
      </c>
      <c r="L454" s="3" t="s">
        <v>2079</v>
      </c>
      <c r="M454" s="3" t="s">
        <v>82</v>
      </c>
      <c r="N454" s="3" t="s">
        <v>958</v>
      </c>
      <c r="O454" s="3">
        <v>0</v>
      </c>
      <c r="P454" s="3">
        <v>23</v>
      </c>
      <c r="Q454" s="3" t="s">
        <v>60</v>
      </c>
      <c r="R454" s="3" t="s">
        <v>47</v>
      </c>
      <c r="S454" s="3">
        <v>55</v>
      </c>
      <c r="T454" s="3">
        <v>9</v>
      </c>
      <c r="U454" s="3">
        <v>46</v>
      </c>
      <c r="V454" s="3">
        <v>25</v>
      </c>
      <c r="W454" s="3">
        <v>0</v>
      </c>
      <c r="X454" s="3" t="s">
        <v>147</v>
      </c>
      <c r="Y454" s="3">
        <v>0</v>
      </c>
      <c r="Z454" s="3">
        <v>0</v>
      </c>
      <c r="AA454" s="3">
        <v>0</v>
      </c>
      <c r="AB454" s="3">
        <v>0</v>
      </c>
      <c r="AC454" s="3">
        <v>24</v>
      </c>
      <c r="AD454" s="3">
        <v>6</v>
      </c>
      <c r="AE454" s="3">
        <v>14</v>
      </c>
      <c r="AF454" s="3" t="s">
        <v>0</v>
      </c>
      <c r="AG454" s="3" t="s">
        <v>49</v>
      </c>
    </row>
    <row r="455" spans="1:33" ht="51" x14ac:dyDescent="0.2">
      <c r="A455" s="5" t="str">
        <f>HYPERLINK("http://www.patentics.cn/invokexml.do?sf=ShowPatent&amp;spn=US9264916&amp;sv=59e58d3d8478cbadb5c389c78f8eb69d","US9264916")</f>
        <v>US9264916</v>
      </c>
      <c r="B455" s="3" t="s">
        <v>2080</v>
      </c>
      <c r="C455" s="3" t="s">
        <v>2081</v>
      </c>
      <c r="D455" s="3" t="s">
        <v>52</v>
      </c>
      <c r="E455" s="3" t="s">
        <v>52</v>
      </c>
      <c r="F455" s="3" t="s">
        <v>2075</v>
      </c>
      <c r="G455" s="3" t="s">
        <v>2076</v>
      </c>
      <c r="H455" s="3" t="s">
        <v>2077</v>
      </c>
      <c r="I455" s="3" t="s">
        <v>891</v>
      </c>
      <c r="J455" s="3" t="s">
        <v>664</v>
      </c>
      <c r="K455" s="3" t="s">
        <v>82</v>
      </c>
      <c r="L455" s="3" t="s">
        <v>2082</v>
      </c>
      <c r="M455" s="3" t="s">
        <v>82</v>
      </c>
      <c r="N455" s="3" t="s">
        <v>958</v>
      </c>
      <c r="O455" s="3">
        <v>0</v>
      </c>
      <c r="P455" s="3">
        <v>17</v>
      </c>
      <c r="Q455" s="3" t="s">
        <v>60</v>
      </c>
      <c r="R455" s="3" t="s">
        <v>47</v>
      </c>
      <c r="S455" s="3">
        <v>55</v>
      </c>
      <c r="T455" s="3">
        <v>9</v>
      </c>
      <c r="U455" s="3">
        <v>46</v>
      </c>
      <c r="V455" s="3">
        <v>25</v>
      </c>
      <c r="W455" s="3">
        <v>0</v>
      </c>
      <c r="X455" s="3" t="s">
        <v>147</v>
      </c>
      <c r="Y455" s="3">
        <v>0</v>
      </c>
      <c r="Z455" s="3">
        <v>0</v>
      </c>
      <c r="AA455" s="3">
        <v>0</v>
      </c>
      <c r="AB455" s="3">
        <v>0</v>
      </c>
      <c r="AC455" s="3">
        <v>24</v>
      </c>
      <c r="AD455" s="3">
        <v>6</v>
      </c>
      <c r="AE455" s="3">
        <v>14</v>
      </c>
      <c r="AF455" s="3" t="s">
        <v>0</v>
      </c>
      <c r="AG455" s="3" t="s">
        <v>49</v>
      </c>
    </row>
    <row r="456" spans="1:33" ht="25.5" x14ac:dyDescent="0.2">
      <c r="A456" s="5" t="str">
        <f>HYPERLINK("http://www.patentics.cn/invokexml.do?sf=ShowPatent&amp;spn=WO2011113198&amp;sv=bf22519812d41ecef0f7b322691b9a0c","WO2011113198")</f>
        <v>WO2011113198</v>
      </c>
      <c r="B456" s="3" t="s">
        <v>2083</v>
      </c>
      <c r="C456" s="3" t="s">
        <v>2074</v>
      </c>
      <c r="D456" s="3" t="s">
        <v>2084</v>
      </c>
      <c r="E456" s="3" t="s">
        <v>2085</v>
      </c>
      <c r="F456" s="3" t="s">
        <v>2086</v>
      </c>
      <c r="G456" s="3" t="s">
        <v>2087</v>
      </c>
      <c r="H456" s="3" t="s">
        <v>2077</v>
      </c>
      <c r="I456" s="3" t="s">
        <v>2077</v>
      </c>
      <c r="J456" s="3" t="s">
        <v>2088</v>
      </c>
      <c r="K456" s="3" t="s">
        <v>84</v>
      </c>
      <c r="L456" s="3" t="s">
        <v>2079</v>
      </c>
      <c r="M456" s="3" t="s">
        <v>0</v>
      </c>
      <c r="N456" s="3" t="s">
        <v>0</v>
      </c>
      <c r="O456" s="3">
        <v>50</v>
      </c>
      <c r="P456" s="3">
        <v>12</v>
      </c>
      <c r="Q456" s="3" t="s">
        <v>352</v>
      </c>
      <c r="R456" s="3" t="s">
        <v>47</v>
      </c>
      <c r="S456" s="3">
        <v>4</v>
      </c>
      <c r="T456" s="3">
        <v>1</v>
      </c>
      <c r="U456" s="3">
        <v>3</v>
      </c>
      <c r="V456" s="3">
        <v>3</v>
      </c>
      <c r="W456" s="3">
        <v>0</v>
      </c>
      <c r="X456" s="3" t="s">
        <v>147</v>
      </c>
      <c r="Y456" s="3">
        <v>0</v>
      </c>
      <c r="Z456" s="3">
        <v>0</v>
      </c>
      <c r="AA456" s="3">
        <v>0</v>
      </c>
      <c r="AB456" s="3">
        <v>0</v>
      </c>
      <c r="AC456" s="3">
        <v>24</v>
      </c>
      <c r="AD456" s="3">
        <v>6</v>
      </c>
      <c r="AE456" s="3">
        <v>14</v>
      </c>
      <c r="AF456" s="3" t="s">
        <v>0</v>
      </c>
      <c r="AG456" s="3" t="s">
        <v>0</v>
      </c>
    </row>
    <row r="457" spans="1:33" ht="25.5" x14ac:dyDescent="0.2">
      <c r="A457" s="5" t="str">
        <f>HYPERLINK("http://www.patentics.cn/invokexml.do?sf=ShowPatent&amp;spn=WO2011113217&amp;sv=cf717539ebf57cb6cbc8c06fe48a52e3","WO2011113217")</f>
        <v>WO2011113217</v>
      </c>
      <c r="B457" s="3" t="s">
        <v>2089</v>
      </c>
      <c r="C457" s="3" t="s">
        <v>2074</v>
      </c>
      <c r="D457" s="3" t="s">
        <v>2084</v>
      </c>
      <c r="E457" s="3" t="s">
        <v>2085</v>
      </c>
      <c r="F457" s="3" t="s">
        <v>2086</v>
      </c>
      <c r="G457" s="3" t="s">
        <v>2087</v>
      </c>
      <c r="H457" s="3" t="s">
        <v>2077</v>
      </c>
      <c r="I457" s="3" t="s">
        <v>2078</v>
      </c>
      <c r="J457" s="3" t="s">
        <v>2088</v>
      </c>
      <c r="K457" s="3" t="s">
        <v>84</v>
      </c>
      <c r="L457" s="3" t="s">
        <v>2079</v>
      </c>
      <c r="M457" s="3" t="s">
        <v>0</v>
      </c>
      <c r="N457" s="3" t="s">
        <v>0</v>
      </c>
      <c r="O457" s="3">
        <v>58</v>
      </c>
      <c r="P457" s="3">
        <v>11</v>
      </c>
      <c r="Q457" s="3" t="s">
        <v>352</v>
      </c>
      <c r="R457" s="3" t="s">
        <v>47</v>
      </c>
      <c r="S457" s="3">
        <v>6</v>
      </c>
      <c r="T457" s="3">
        <v>1</v>
      </c>
      <c r="U457" s="3">
        <v>5</v>
      </c>
      <c r="V457" s="3">
        <v>4</v>
      </c>
      <c r="W457" s="3">
        <v>0</v>
      </c>
      <c r="X457" s="3" t="s">
        <v>147</v>
      </c>
      <c r="Y457" s="3">
        <v>0</v>
      </c>
      <c r="Z457" s="3">
        <v>0</v>
      </c>
      <c r="AA457" s="3">
        <v>0</v>
      </c>
      <c r="AB457" s="3">
        <v>0</v>
      </c>
      <c r="AC457" s="3">
        <v>24</v>
      </c>
      <c r="AD457" s="3">
        <v>6</v>
      </c>
      <c r="AE457" s="3">
        <v>14</v>
      </c>
      <c r="AF457" s="3" t="s">
        <v>0</v>
      </c>
      <c r="AG457" s="3" t="s">
        <v>0</v>
      </c>
    </row>
    <row r="458" spans="1:33" x14ac:dyDescent="0.2">
      <c r="A458" s="5" t="str">
        <f>HYPERLINK("http://www.patentics.cn/invokexml.do?sf=ShowPatent&amp;spn=CN102870332B&amp;sv=7648f706b14c9648c903ed6c33bc0660","CN102870332B")</f>
        <v>CN102870332B</v>
      </c>
      <c r="B458" s="3" t="s">
        <v>2090</v>
      </c>
      <c r="C458" s="3" t="s">
        <v>2091</v>
      </c>
      <c r="D458" s="3" t="s">
        <v>338</v>
      </c>
      <c r="E458" s="3" t="s">
        <v>338</v>
      </c>
      <c r="F458" s="3" t="s">
        <v>2092</v>
      </c>
      <c r="G458" s="3" t="s">
        <v>2093</v>
      </c>
      <c r="H458" s="3" t="s">
        <v>2077</v>
      </c>
      <c r="I458" s="3" t="s">
        <v>2078</v>
      </c>
      <c r="J458" s="3" t="s">
        <v>2094</v>
      </c>
      <c r="K458" s="3" t="s">
        <v>84</v>
      </c>
      <c r="L458" s="3" t="s">
        <v>2079</v>
      </c>
      <c r="M458" s="3" t="s">
        <v>0</v>
      </c>
      <c r="N458" s="3" t="s">
        <v>0</v>
      </c>
      <c r="O458" s="3">
        <v>48</v>
      </c>
      <c r="P458" s="3">
        <v>16</v>
      </c>
      <c r="Q458" s="3" t="s">
        <v>60</v>
      </c>
      <c r="R458" s="3" t="s">
        <v>47</v>
      </c>
      <c r="S458" s="3">
        <v>5</v>
      </c>
      <c r="T458" s="3">
        <v>0</v>
      </c>
      <c r="U458" s="3">
        <v>5</v>
      </c>
      <c r="V458" s="3">
        <v>3</v>
      </c>
      <c r="W458" s="3">
        <v>0</v>
      </c>
      <c r="X458" s="3" t="s">
        <v>147</v>
      </c>
      <c r="Y458" s="3">
        <v>0</v>
      </c>
      <c r="Z458" s="3">
        <v>0</v>
      </c>
      <c r="AA458" s="3">
        <v>0</v>
      </c>
      <c r="AB458" s="3">
        <v>0</v>
      </c>
      <c r="AC458" s="3">
        <v>24</v>
      </c>
      <c r="AD458" s="3">
        <v>6</v>
      </c>
      <c r="AE458" s="3">
        <v>14</v>
      </c>
      <c r="AF458" s="3" t="s">
        <v>0</v>
      </c>
      <c r="AG458" s="3" t="s">
        <v>49</v>
      </c>
    </row>
    <row r="459" spans="1:33" ht="25.5" x14ac:dyDescent="0.2">
      <c r="A459" s="4" t="str">
        <f>HYPERLINK("http://www.patentics.cn/invokexml.do?sf=ShowPatent&amp;spn=CN101256512&amp;sv=f997d6de9ef1bef3682bcf0074ba2097","CN101256512")</f>
        <v>CN101256512</v>
      </c>
      <c r="B459" s="2" t="s">
        <v>2095</v>
      </c>
      <c r="C459" s="2" t="s">
        <v>2096</v>
      </c>
      <c r="D459" s="2" t="s">
        <v>38</v>
      </c>
      <c r="E459" s="2" t="s">
        <v>38</v>
      </c>
      <c r="F459" s="2" t="s">
        <v>2097</v>
      </c>
      <c r="G459" s="2" t="s">
        <v>2097</v>
      </c>
      <c r="H459" s="2" t="s">
        <v>2098</v>
      </c>
      <c r="I459" s="2" t="s">
        <v>2098</v>
      </c>
      <c r="J459" s="2" t="s">
        <v>2099</v>
      </c>
      <c r="K459" s="2" t="s">
        <v>555</v>
      </c>
      <c r="L459" s="2" t="s">
        <v>2100</v>
      </c>
      <c r="M459" s="2" t="s">
        <v>555</v>
      </c>
      <c r="N459" s="2" t="s">
        <v>2101</v>
      </c>
      <c r="O459" s="2">
        <v>5</v>
      </c>
      <c r="P459" s="2">
        <v>19</v>
      </c>
      <c r="Q459" s="2" t="s">
        <v>46</v>
      </c>
      <c r="R459" s="2" t="s">
        <v>47</v>
      </c>
      <c r="S459" s="2">
        <v>0</v>
      </c>
      <c r="T459" s="2">
        <v>0</v>
      </c>
      <c r="U459" s="2">
        <v>0</v>
      </c>
      <c r="V459" s="2">
        <v>0</v>
      </c>
      <c r="W459" s="2">
        <v>11</v>
      </c>
      <c r="X459" s="2" t="s">
        <v>2102</v>
      </c>
      <c r="Y459" s="2">
        <v>2</v>
      </c>
      <c r="Z459" s="2">
        <v>9</v>
      </c>
      <c r="AA459" s="2">
        <v>4</v>
      </c>
      <c r="AB459" s="2">
        <v>3</v>
      </c>
      <c r="AC459" s="2">
        <v>1</v>
      </c>
      <c r="AD459" s="2">
        <v>1</v>
      </c>
      <c r="AE459" s="2" t="s">
        <v>0</v>
      </c>
      <c r="AF459" s="2">
        <v>6</v>
      </c>
      <c r="AG459" s="2" t="s">
        <v>49</v>
      </c>
    </row>
    <row r="460" spans="1:33" ht="114.75" x14ac:dyDescent="0.2">
      <c r="A460" s="5" t="str">
        <f>HYPERLINK("http://www.patentics.cn/invokexml.do?sf=ShowPatent&amp;spn=US8653785&amp;sv=7fd008ded7eab3683f880f1815c2b577","US8653785")</f>
        <v>US8653785</v>
      </c>
      <c r="B460" s="3" t="s">
        <v>2103</v>
      </c>
      <c r="C460" s="3" t="s">
        <v>2104</v>
      </c>
      <c r="D460" s="3" t="s">
        <v>52</v>
      </c>
      <c r="E460" s="3" t="s">
        <v>52</v>
      </c>
      <c r="F460" s="3" t="s">
        <v>2105</v>
      </c>
      <c r="G460" s="3" t="s">
        <v>2106</v>
      </c>
      <c r="H460" s="3" t="s">
        <v>2107</v>
      </c>
      <c r="I460" s="3" t="s">
        <v>2108</v>
      </c>
      <c r="J460" s="3" t="s">
        <v>2109</v>
      </c>
      <c r="K460" s="3" t="s">
        <v>2110</v>
      </c>
      <c r="L460" s="3" t="s">
        <v>2111</v>
      </c>
      <c r="M460" s="3" t="s">
        <v>555</v>
      </c>
      <c r="N460" s="3" t="s">
        <v>2112</v>
      </c>
      <c r="O460" s="3">
        <v>0</v>
      </c>
      <c r="P460" s="3">
        <v>15</v>
      </c>
      <c r="Q460" s="3" t="s">
        <v>60</v>
      </c>
      <c r="R460" s="3" t="s">
        <v>61</v>
      </c>
      <c r="S460" s="3">
        <v>171</v>
      </c>
      <c r="T460" s="3">
        <v>17</v>
      </c>
      <c r="U460" s="3">
        <v>154</v>
      </c>
      <c r="V460" s="3">
        <v>65</v>
      </c>
      <c r="W460" s="3">
        <v>8</v>
      </c>
      <c r="X460" s="3" t="s">
        <v>1756</v>
      </c>
      <c r="Y460" s="3">
        <v>7</v>
      </c>
      <c r="Z460" s="3">
        <v>1</v>
      </c>
      <c r="AA460" s="3">
        <v>2</v>
      </c>
      <c r="AB460" s="3">
        <v>1</v>
      </c>
      <c r="AC460" s="3">
        <v>20</v>
      </c>
      <c r="AD460" s="3">
        <v>13</v>
      </c>
      <c r="AE460" s="3">
        <v>14</v>
      </c>
      <c r="AF460" s="3" t="s">
        <v>0</v>
      </c>
      <c r="AG460" s="3" t="s">
        <v>49</v>
      </c>
    </row>
    <row r="461" spans="1:33" ht="76.5" x14ac:dyDescent="0.2">
      <c r="A461" s="5" t="str">
        <f>HYPERLINK("http://www.patentics.cn/invokexml.do?sf=ShowPatent&amp;spn=US8707061&amp;sv=563134e036a518c26497ead29549d69e","US8707061")</f>
        <v>US8707061</v>
      </c>
      <c r="B461" s="3" t="s">
        <v>2113</v>
      </c>
      <c r="C461" s="3" t="s">
        <v>2114</v>
      </c>
      <c r="D461" s="3" t="s">
        <v>52</v>
      </c>
      <c r="E461" s="3" t="s">
        <v>52</v>
      </c>
      <c r="F461" s="3" t="s">
        <v>2115</v>
      </c>
      <c r="G461" s="3" t="s">
        <v>2116</v>
      </c>
      <c r="H461" s="3" t="s">
        <v>2107</v>
      </c>
      <c r="I461" s="3" t="s">
        <v>1568</v>
      </c>
      <c r="J461" s="3" t="s">
        <v>2117</v>
      </c>
      <c r="K461" s="3" t="s">
        <v>555</v>
      </c>
      <c r="L461" s="3" t="s">
        <v>2118</v>
      </c>
      <c r="M461" s="3" t="s">
        <v>555</v>
      </c>
      <c r="N461" s="3" t="s">
        <v>2119</v>
      </c>
      <c r="O461" s="3">
        <v>0</v>
      </c>
      <c r="P461" s="3">
        <v>10</v>
      </c>
      <c r="Q461" s="3" t="s">
        <v>60</v>
      </c>
      <c r="R461" s="3" t="s">
        <v>61</v>
      </c>
      <c r="S461" s="3">
        <v>180</v>
      </c>
      <c r="T461" s="3">
        <v>16</v>
      </c>
      <c r="U461" s="3">
        <v>164</v>
      </c>
      <c r="V461" s="3">
        <v>66</v>
      </c>
      <c r="W461" s="3">
        <v>9</v>
      </c>
      <c r="X461" s="3" t="s">
        <v>2120</v>
      </c>
      <c r="Y461" s="3">
        <v>7</v>
      </c>
      <c r="Z461" s="3">
        <v>2</v>
      </c>
      <c r="AA461" s="3">
        <v>3</v>
      </c>
      <c r="AB461" s="3">
        <v>1</v>
      </c>
      <c r="AC461" s="3">
        <v>16</v>
      </c>
      <c r="AD461" s="3">
        <v>12</v>
      </c>
      <c r="AE461" s="3">
        <v>14</v>
      </c>
      <c r="AF461" s="3" t="s">
        <v>0</v>
      </c>
      <c r="AG461" s="3" t="s">
        <v>49</v>
      </c>
    </row>
    <row r="462" spans="1:33" ht="63.75" x14ac:dyDescent="0.2">
      <c r="A462" s="5" t="str">
        <f>HYPERLINK("http://www.patentics.cn/invokexml.do?sf=ShowPatent&amp;spn=US9128669&amp;sv=9a0a0cca0490017fd7c5a79a0dd13b5f","US9128669")</f>
        <v>US9128669</v>
      </c>
      <c r="B462" s="3" t="s">
        <v>2121</v>
      </c>
      <c r="C462" s="3" t="s">
        <v>2122</v>
      </c>
      <c r="D462" s="3" t="s">
        <v>52</v>
      </c>
      <c r="E462" s="3" t="s">
        <v>52</v>
      </c>
      <c r="F462" s="3" t="s">
        <v>2123</v>
      </c>
      <c r="G462" s="3" t="s">
        <v>2106</v>
      </c>
      <c r="H462" s="3" t="s">
        <v>2107</v>
      </c>
      <c r="I462" s="3" t="s">
        <v>2108</v>
      </c>
      <c r="J462" s="3" t="s">
        <v>219</v>
      </c>
      <c r="K462" s="3" t="s">
        <v>555</v>
      </c>
      <c r="L462" s="3" t="s">
        <v>2124</v>
      </c>
      <c r="M462" s="3" t="s">
        <v>0</v>
      </c>
      <c r="N462" s="3" t="s">
        <v>0</v>
      </c>
      <c r="O462" s="3">
        <v>0</v>
      </c>
      <c r="P462" s="3">
        <v>20</v>
      </c>
      <c r="Q462" s="3" t="s">
        <v>60</v>
      </c>
      <c r="R462" s="3" t="s">
        <v>61</v>
      </c>
      <c r="S462" s="3">
        <v>248</v>
      </c>
      <c r="T462" s="3">
        <v>19</v>
      </c>
      <c r="U462" s="3">
        <v>229</v>
      </c>
      <c r="V462" s="3">
        <v>88</v>
      </c>
      <c r="W462" s="3">
        <v>0</v>
      </c>
      <c r="X462" s="3" t="s">
        <v>147</v>
      </c>
      <c r="Y462" s="3">
        <v>0</v>
      </c>
      <c r="Z462" s="3">
        <v>0</v>
      </c>
      <c r="AA462" s="3">
        <v>0</v>
      </c>
      <c r="AB462" s="3">
        <v>0</v>
      </c>
      <c r="AC462" s="3">
        <v>18</v>
      </c>
      <c r="AD462" s="3">
        <v>13</v>
      </c>
      <c r="AE462" s="3">
        <v>14</v>
      </c>
      <c r="AF462" s="3" t="s">
        <v>0</v>
      </c>
      <c r="AG462" s="3" t="s">
        <v>49</v>
      </c>
    </row>
    <row r="463" spans="1:33" ht="114.75" x14ac:dyDescent="0.2">
      <c r="A463" s="5" t="str">
        <f>HYPERLINK("http://www.patentics.cn/invokexml.do?sf=ShowPatent&amp;spn=US9152196&amp;sv=7d5da5c9f18dd5619f0aa28cd4561999","US9152196")</f>
        <v>US9152196</v>
      </c>
      <c r="B463" s="3" t="s">
        <v>2125</v>
      </c>
      <c r="C463" s="3" t="s">
        <v>2104</v>
      </c>
      <c r="D463" s="3" t="s">
        <v>52</v>
      </c>
      <c r="E463" s="3" t="s">
        <v>52</v>
      </c>
      <c r="F463" s="3" t="s">
        <v>2105</v>
      </c>
      <c r="G463" s="3" t="s">
        <v>2106</v>
      </c>
      <c r="H463" s="3" t="s">
        <v>2107</v>
      </c>
      <c r="I463" s="3" t="s">
        <v>2126</v>
      </c>
      <c r="J463" s="3" t="s">
        <v>256</v>
      </c>
      <c r="K463" s="3" t="s">
        <v>2110</v>
      </c>
      <c r="L463" s="3" t="s">
        <v>2111</v>
      </c>
      <c r="M463" s="3" t="s">
        <v>555</v>
      </c>
      <c r="N463" s="3" t="s">
        <v>2127</v>
      </c>
      <c r="O463" s="3">
        <v>0</v>
      </c>
      <c r="P463" s="3">
        <v>12</v>
      </c>
      <c r="Q463" s="3" t="s">
        <v>60</v>
      </c>
      <c r="R463" s="3" t="s">
        <v>61</v>
      </c>
      <c r="S463" s="3">
        <v>246</v>
      </c>
      <c r="T463" s="3">
        <v>19</v>
      </c>
      <c r="U463" s="3">
        <v>227</v>
      </c>
      <c r="V463" s="3">
        <v>86</v>
      </c>
      <c r="W463" s="3">
        <v>0</v>
      </c>
      <c r="X463" s="3" t="s">
        <v>147</v>
      </c>
      <c r="Y463" s="3">
        <v>0</v>
      </c>
      <c r="Z463" s="3">
        <v>0</v>
      </c>
      <c r="AA463" s="3">
        <v>0</v>
      </c>
      <c r="AB463" s="3">
        <v>0</v>
      </c>
      <c r="AC463" s="3">
        <v>20</v>
      </c>
      <c r="AD463" s="3">
        <v>13</v>
      </c>
      <c r="AE463" s="3">
        <v>14</v>
      </c>
      <c r="AF463" s="3" t="s">
        <v>0</v>
      </c>
      <c r="AG463" s="3" t="s">
        <v>49</v>
      </c>
    </row>
    <row r="464" spans="1:33" ht="63.75" x14ac:dyDescent="0.2">
      <c r="A464" s="5" t="str">
        <f>HYPERLINK("http://www.patentics.cn/invokexml.do?sf=ShowPatent&amp;spn=US9201593&amp;sv=5bdd7edd0b405d8bff9b501f3aa3e5a1","US9201593")</f>
        <v>US9201593</v>
      </c>
      <c r="B464" s="3" t="s">
        <v>2128</v>
      </c>
      <c r="C464" s="3" t="s">
        <v>2129</v>
      </c>
      <c r="D464" s="3" t="s">
        <v>52</v>
      </c>
      <c r="E464" s="3" t="s">
        <v>52</v>
      </c>
      <c r="F464" s="3" t="s">
        <v>2130</v>
      </c>
      <c r="G464" s="3" t="s">
        <v>2106</v>
      </c>
      <c r="H464" s="3" t="s">
        <v>2107</v>
      </c>
      <c r="I464" s="3" t="s">
        <v>2108</v>
      </c>
      <c r="J464" s="3" t="s">
        <v>1362</v>
      </c>
      <c r="K464" s="3" t="s">
        <v>555</v>
      </c>
      <c r="L464" s="3" t="s">
        <v>2131</v>
      </c>
      <c r="M464" s="3" t="s">
        <v>555</v>
      </c>
      <c r="N464" s="3" t="s">
        <v>2132</v>
      </c>
      <c r="O464" s="3">
        <v>0</v>
      </c>
      <c r="P464" s="3">
        <v>11</v>
      </c>
      <c r="Q464" s="3" t="s">
        <v>60</v>
      </c>
      <c r="R464" s="3" t="s">
        <v>61</v>
      </c>
      <c r="S464" s="3">
        <v>248</v>
      </c>
      <c r="T464" s="3">
        <v>19</v>
      </c>
      <c r="U464" s="3">
        <v>229</v>
      </c>
      <c r="V464" s="3">
        <v>87</v>
      </c>
      <c r="W464" s="3">
        <v>0</v>
      </c>
      <c r="X464" s="3" t="s">
        <v>147</v>
      </c>
      <c r="Y464" s="3">
        <v>0</v>
      </c>
      <c r="Z464" s="3">
        <v>0</v>
      </c>
      <c r="AA464" s="3">
        <v>0</v>
      </c>
      <c r="AB464" s="3">
        <v>0</v>
      </c>
      <c r="AC464" s="3">
        <v>10</v>
      </c>
      <c r="AD464" s="3">
        <v>6</v>
      </c>
      <c r="AE464" s="3">
        <v>14</v>
      </c>
      <c r="AF464" s="3" t="s">
        <v>0</v>
      </c>
      <c r="AG464" s="3" t="s">
        <v>49</v>
      </c>
    </row>
    <row r="465" spans="1:33" ht="76.5" x14ac:dyDescent="0.2">
      <c r="A465" s="5" t="str">
        <f>HYPERLINK("http://www.patentics.cn/invokexml.do?sf=ShowPatent&amp;spn=CN102365618B&amp;sv=01756da49c9adb51a151365a2bbd3bbc","CN102365618B")</f>
        <v>CN102365618B</v>
      </c>
      <c r="B465" s="3" t="s">
        <v>2133</v>
      </c>
      <c r="C465" s="3" t="s">
        <v>2134</v>
      </c>
      <c r="D465" s="3" t="s">
        <v>338</v>
      </c>
      <c r="E465" s="3" t="s">
        <v>338</v>
      </c>
      <c r="F465" s="3" t="s">
        <v>2135</v>
      </c>
      <c r="G465" s="3" t="s">
        <v>2136</v>
      </c>
      <c r="H465" s="3" t="s">
        <v>2107</v>
      </c>
      <c r="I465" s="3" t="s">
        <v>2137</v>
      </c>
      <c r="J465" s="3" t="s">
        <v>2138</v>
      </c>
      <c r="K465" s="3" t="s">
        <v>555</v>
      </c>
      <c r="L465" s="3" t="s">
        <v>2139</v>
      </c>
      <c r="M465" s="3" t="s">
        <v>0</v>
      </c>
      <c r="N465" s="3" t="s">
        <v>0</v>
      </c>
      <c r="O465" s="3">
        <v>8</v>
      </c>
      <c r="P465" s="3">
        <v>10</v>
      </c>
      <c r="Q465" s="3" t="s">
        <v>60</v>
      </c>
      <c r="R465" s="3" t="s">
        <v>61</v>
      </c>
      <c r="S465" s="3">
        <v>2</v>
      </c>
      <c r="T465" s="3">
        <v>0</v>
      </c>
      <c r="U465" s="3">
        <v>2</v>
      </c>
      <c r="V465" s="3">
        <v>2</v>
      </c>
      <c r="W465" s="3">
        <v>0</v>
      </c>
      <c r="X465" s="3" t="s">
        <v>147</v>
      </c>
      <c r="Y465" s="3">
        <v>0</v>
      </c>
      <c r="Z465" s="3">
        <v>0</v>
      </c>
      <c r="AA465" s="3">
        <v>0</v>
      </c>
      <c r="AB465" s="3">
        <v>0</v>
      </c>
      <c r="AC465" s="3">
        <v>16</v>
      </c>
      <c r="AD465" s="3">
        <v>12</v>
      </c>
      <c r="AE465" s="3">
        <v>14</v>
      </c>
      <c r="AF465" s="3" t="s">
        <v>0</v>
      </c>
      <c r="AG465" s="3" t="s">
        <v>49</v>
      </c>
    </row>
    <row r="466" spans="1:33" ht="25.5" x14ac:dyDescent="0.2">
      <c r="A466" s="4" t="str">
        <f>HYPERLINK("http://www.patentics.cn/invokexml.do?sf=ShowPatent&amp;spn=CN1980421&amp;sv=8f5213b027ba094d2e2ae10d82ef8422","CN1980421")</f>
        <v>CN1980421</v>
      </c>
      <c r="B466" s="2" t="s">
        <v>2140</v>
      </c>
      <c r="C466" s="2" t="s">
        <v>2141</v>
      </c>
      <c r="D466" s="2" t="s">
        <v>38</v>
      </c>
      <c r="E466" s="2" t="s">
        <v>38</v>
      </c>
      <c r="F466" s="2" t="s">
        <v>2142</v>
      </c>
      <c r="G466" s="2" t="s">
        <v>2143</v>
      </c>
      <c r="H466" s="2" t="s">
        <v>2144</v>
      </c>
      <c r="I466" s="2" t="s">
        <v>2144</v>
      </c>
      <c r="J466" s="2" t="s">
        <v>2145</v>
      </c>
      <c r="K466" s="2" t="s">
        <v>43</v>
      </c>
      <c r="L466" s="2" t="s">
        <v>2062</v>
      </c>
      <c r="M466" s="2" t="s">
        <v>43</v>
      </c>
      <c r="N466" s="2" t="s">
        <v>2146</v>
      </c>
      <c r="O466" s="2">
        <v>11</v>
      </c>
      <c r="P466" s="2">
        <v>16</v>
      </c>
      <c r="Q466" s="2" t="s">
        <v>46</v>
      </c>
      <c r="R466" s="2" t="s">
        <v>47</v>
      </c>
      <c r="S466" s="2">
        <v>0</v>
      </c>
      <c r="T466" s="2">
        <v>0</v>
      </c>
      <c r="U466" s="2">
        <v>0</v>
      </c>
      <c r="V466" s="2">
        <v>0</v>
      </c>
      <c r="W466" s="2">
        <v>6</v>
      </c>
      <c r="X466" s="2" t="s">
        <v>2147</v>
      </c>
      <c r="Y466" s="2">
        <v>0</v>
      </c>
      <c r="Z466" s="2">
        <v>6</v>
      </c>
      <c r="AA466" s="2">
        <v>1</v>
      </c>
      <c r="AB466" s="2">
        <v>2</v>
      </c>
      <c r="AC466" s="2">
        <v>1</v>
      </c>
      <c r="AD466" s="2">
        <v>1</v>
      </c>
      <c r="AE466" s="2" t="s">
        <v>0</v>
      </c>
      <c r="AF466" s="2">
        <v>6</v>
      </c>
      <c r="AG466" s="2" t="s">
        <v>755</v>
      </c>
    </row>
    <row r="467" spans="1:33" ht="127.5" x14ac:dyDescent="0.2">
      <c r="A467" s="5" t="str">
        <f>HYPERLINK("http://www.patentics.cn/invokexml.do?sf=ShowPatent&amp;spn=US8792839&amp;sv=3dbdecad9b66030551506a880551ca11","US8792839")</f>
        <v>US8792839</v>
      </c>
      <c r="B467" s="3" t="s">
        <v>2148</v>
      </c>
      <c r="C467" s="3" t="s">
        <v>2149</v>
      </c>
      <c r="D467" s="3" t="s">
        <v>52</v>
      </c>
      <c r="E467" s="3" t="s">
        <v>52</v>
      </c>
      <c r="F467" s="3" t="s">
        <v>2150</v>
      </c>
      <c r="G467" s="3" t="s">
        <v>2151</v>
      </c>
      <c r="H467" s="3" t="s">
        <v>885</v>
      </c>
      <c r="I467" s="3" t="s">
        <v>2152</v>
      </c>
      <c r="J467" s="3" t="s">
        <v>1666</v>
      </c>
      <c r="K467" s="3" t="s">
        <v>2153</v>
      </c>
      <c r="L467" s="3" t="s">
        <v>2154</v>
      </c>
      <c r="M467" s="3" t="s">
        <v>82</v>
      </c>
      <c r="N467" s="3" t="s">
        <v>2155</v>
      </c>
      <c r="O467" s="3">
        <v>0</v>
      </c>
      <c r="P467" s="3">
        <v>12</v>
      </c>
      <c r="Q467" s="3" t="s">
        <v>60</v>
      </c>
      <c r="R467" s="3" t="s">
        <v>61</v>
      </c>
      <c r="S467" s="3">
        <v>61</v>
      </c>
      <c r="T467" s="3">
        <v>11</v>
      </c>
      <c r="U467" s="3">
        <v>50</v>
      </c>
      <c r="V467" s="3">
        <v>24</v>
      </c>
      <c r="W467" s="3">
        <v>12</v>
      </c>
      <c r="X467" s="3" t="s">
        <v>523</v>
      </c>
      <c r="Y467" s="3">
        <v>1</v>
      </c>
      <c r="Z467" s="3">
        <v>11</v>
      </c>
      <c r="AA467" s="3">
        <v>2</v>
      </c>
      <c r="AB467" s="3">
        <v>1</v>
      </c>
      <c r="AC467" s="3">
        <v>54</v>
      </c>
      <c r="AD467" s="3">
        <v>8</v>
      </c>
      <c r="AE467" s="3">
        <v>14</v>
      </c>
      <c r="AF467" s="3" t="s">
        <v>0</v>
      </c>
      <c r="AG467" s="3" t="s">
        <v>49</v>
      </c>
    </row>
    <row r="468" spans="1:33" ht="153" x14ac:dyDescent="0.2">
      <c r="A468" s="5" t="str">
        <f>HYPERLINK("http://www.patentics.cn/invokexml.do?sf=ShowPatent&amp;spn=US8848771&amp;sv=83d1ffdd14a4a15a86c12ba6bda35ace","US8848771")</f>
        <v>US8848771</v>
      </c>
      <c r="B468" s="3" t="s">
        <v>2156</v>
      </c>
      <c r="C468" s="3" t="s">
        <v>2157</v>
      </c>
      <c r="D468" s="3" t="s">
        <v>52</v>
      </c>
      <c r="E468" s="3" t="s">
        <v>52</v>
      </c>
      <c r="F468" s="3" t="s">
        <v>2158</v>
      </c>
      <c r="G468" s="3" t="s">
        <v>2159</v>
      </c>
      <c r="H468" s="3" t="s">
        <v>885</v>
      </c>
      <c r="I468" s="3" t="s">
        <v>2160</v>
      </c>
      <c r="J468" s="3" t="s">
        <v>1481</v>
      </c>
      <c r="K468" s="3" t="s">
        <v>84</v>
      </c>
      <c r="L468" s="3" t="s">
        <v>1791</v>
      </c>
      <c r="M468" s="3" t="s">
        <v>84</v>
      </c>
      <c r="N468" s="3" t="s">
        <v>2161</v>
      </c>
      <c r="O468" s="3">
        <v>0</v>
      </c>
      <c r="P468" s="3">
        <v>15</v>
      </c>
      <c r="Q468" s="3" t="s">
        <v>60</v>
      </c>
      <c r="R468" s="3" t="s">
        <v>61</v>
      </c>
      <c r="S468" s="3">
        <v>63</v>
      </c>
      <c r="T468" s="3">
        <v>12</v>
      </c>
      <c r="U468" s="3">
        <v>51</v>
      </c>
      <c r="V468" s="3">
        <v>24</v>
      </c>
      <c r="W468" s="3">
        <v>0</v>
      </c>
      <c r="X468" s="3" t="s">
        <v>147</v>
      </c>
      <c r="Y468" s="3">
        <v>0</v>
      </c>
      <c r="Z468" s="3">
        <v>0</v>
      </c>
      <c r="AA468" s="3">
        <v>0</v>
      </c>
      <c r="AB468" s="3">
        <v>0</v>
      </c>
      <c r="AC468" s="3">
        <v>54</v>
      </c>
      <c r="AD468" s="3">
        <v>8</v>
      </c>
      <c r="AE468" s="3">
        <v>14</v>
      </c>
      <c r="AF468" s="3" t="s">
        <v>0</v>
      </c>
      <c r="AG468" s="3" t="s">
        <v>49</v>
      </c>
    </row>
    <row r="469" spans="1:33" ht="127.5" x14ac:dyDescent="0.2">
      <c r="A469" s="5" t="str">
        <f>HYPERLINK("http://www.patentics.cn/invokexml.do?sf=ShowPatent&amp;spn=US8880004&amp;sv=3ab5db7b5c481c4622ab44bb98334c60","US8880004")</f>
        <v>US8880004</v>
      </c>
      <c r="B469" s="3" t="s">
        <v>2162</v>
      </c>
      <c r="C469" s="3" t="s">
        <v>2163</v>
      </c>
      <c r="D469" s="3" t="s">
        <v>52</v>
      </c>
      <c r="E469" s="3" t="s">
        <v>52</v>
      </c>
      <c r="F469" s="3" t="s">
        <v>2164</v>
      </c>
      <c r="G469" s="3" t="s">
        <v>2151</v>
      </c>
      <c r="H469" s="3" t="s">
        <v>885</v>
      </c>
      <c r="I469" s="3" t="s">
        <v>2152</v>
      </c>
      <c r="J469" s="3" t="s">
        <v>187</v>
      </c>
      <c r="K469" s="3" t="s">
        <v>84</v>
      </c>
      <c r="L469" s="3" t="s">
        <v>1791</v>
      </c>
      <c r="M469" s="3" t="s">
        <v>82</v>
      </c>
      <c r="N469" s="3" t="s">
        <v>2155</v>
      </c>
      <c r="O469" s="3">
        <v>0</v>
      </c>
      <c r="P469" s="3">
        <v>8</v>
      </c>
      <c r="Q469" s="3" t="s">
        <v>60</v>
      </c>
      <c r="R469" s="3" t="s">
        <v>61</v>
      </c>
      <c r="S469" s="3">
        <v>63</v>
      </c>
      <c r="T469" s="3">
        <v>11</v>
      </c>
      <c r="U469" s="3">
        <v>52</v>
      </c>
      <c r="V469" s="3">
        <v>24</v>
      </c>
      <c r="W469" s="3">
        <v>0</v>
      </c>
      <c r="X469" s="3" t="s">
        <v>147</v>
      </c>
      <c r="Y469" s="3">
        <v>0</v>
      </c>
      <c r="Z469" s="3">
        <v>0</v>
      </c>
      <c r="AA469" s="3">
        <v>0</v>
      </c>
      <c r="AB469" s="3">
        <v>0</v>
      </c>
      <c r="AC469" s="3">
        <v>54</v>
      </c>
      <c r="AD469" s="3">
        <v>8</v>
      </c>
      <c r="AE469" s="3">
        <v>14</v>
      </c>
      <c r="AF469" s="3" t="s">
        <v>0</v>
      </c>
      <c r="AG469" s="3" t="s">
        <v>49</v>
      </c>
    </row>
    <row r="470" spans="1:33" ht="102" x14ac:dyDescent="0.2">
      <c r="A470" s="5" t="str">
        <f>HYPERLINK("http://www.patentics.cn/invokexml.do?sf=ShowPatent&amp;spn=US9313791&amp;sv=2347d38d9f00032e4d40782bf7d3b9e0","US9313791")</f>
        <v>US9313791</v>
      </c>
      <c r="B470" s="3" t="s">
        <v>2165</v>
      </c>
      <c r="C470" s="3" t="s">
        <v>2166</v>
      </c>
      <c r="D470" s="3" t="s">
        <v>52</v>
      </c>
      <c r="E470" s="3" t="s">
        <v>52</v>
      </c>
      <c r="F470" s="3" t="s">
        <v>2167</v>
      </c>
      <c r="G470" s="3" t="s">
        <v>2151</v>
      </c>
      <c r="H470" s="3" t="s">
        <v>885</v>
      </c>
      <c r="I470" s="3" t="s">
        <v>2152</v>
      </c>
      <c r="J470" s="3" t="s">
        <v>522</v>
      </c>
      <c r="K470" s="3" t="s">
        <v>270</v>
      </c>
      <c r="L470" s="3" t="s">
        <v>271</v>
      </c>
      <c r="M470" s="3" t="s">
        <v>82</v>
      </c>
      <c r="N470" s="3" t="s">
        <v>2168</v>
      </c>
      <c r="O470" s="3">
        <v>0</v>
      </c>
      <c r="P470" s="3">
        <v>11</v>
      </c>
      <c r="Q470" s="3" t="s">
        <v>60</v>
      </c>
      <c r="R470" s="3" t="s">
        <v>61</v>
      </c>
      <c r="S470" s="3">
        <v>83</v>
      </c>
      <c r="T470" s="3">
        <v>16</v>
      </c>
      <c r="U470" s="3">
        <v>67</v>
      </c>
      <c r="V470" s="3">
        <v>27</v>
      </c>
      <c r="W470" s="3">
        <v>0</v>
      </c>
      <c r="X470" s="3" t="s">
        <v>147</v>
      </c>
      <c r="Y470" s="3">
        <v>0</v>
      </c>
      <c r="Z470" s="3">
        <v>0</v>
      </c>
      <c r="AA470" s="3">
        <v>0</v>
      </c>
      <c r="AB470" s="3">
        <v>0</v>
      </c>
      <c r="AC470" s="3">
        <v>54</v>
      </c>
      <c r="AD470" s="3">
        <v>8</v>
      </c>
      <c r="AE470" s="3">
        <v>14</v>
      </c>
      <c r="AF470" s="3" t="s">
        <v>0</v>
      </c>
      <c r="AG470" s="3" t="s">
        <v>49</v>
      </c>
    </row>
    <row r="471" spans="1:33" ht="153" x14ac:dyDescent="0.2">
      <c r="A471" s="5" t="str">
        <f>HYPERLINK("http://www.patentics.cn/invokexml.do?sf=ShowPatent&amp;spn=US9386587&amp;sv=bfff0d6a112e2a80df2ddf7f8dc4bf84","US9386587")</f>
        <v>US9386587</v>
      </c>
      <c r="B471" s="3" t="s">
        <v>2169</v>
      </c>
      <c r="C471" s="3" t="s">
        <v>2149</v>
      </c>
      <c r="D471" s="3" t="s">
        <v>52</v>
      </c>
      <c r="E471" s="3" t="s">
        <v>52</v>
      </c>
      <c r="F471" s="3" t="s">
        <v>2170</v>
      </c>
      <c r="G471" s="3" t="s">
        <v>2151</v>
      </c>
      <c r="H471" s="3" t="s">
        <v>885</v>
      </c>
      <c r="I471" s="3" t="s">
        <v>2171</v>
      </c>
      <c r="J471" s="3" t="s">
        <v>708</v>
      </c>
      <c r="K471" s="3" t="s">
        <v>82</v>
      </c>
      <c r="L471" s="3" t="s">
        <v>244</v>
      </c>
      <c r="M471" s="3" t="s">
        <v>82</v>
      </c>
      <c r="N471" s="3" t="s">
        <v>2168</v>
      </c>
      <c r="O471" s="3">
        <v>0</v>
      </c>
      <c r="P471" s="3">
        <v>10</v>
      </c>
      <c r="Q471" s="3" t="s">
        <v>60</v>
      </c>
      <c r="R471" s="3" t="s">
        <v>61</v>
      </c>
      <c r="S471" s="3">
        <v>86</v>
      </c>
      <c r="T471" s="3">
        <v>18</v>
      </c>
      <c r="U471" s="3">
        <v>68</v>
      </c>
      <c r="V471" s="3">
        <v>27</v>
      </c>
      <c r="W471" s="3">
        <v>0</v>
      </c>
      <c r="X471" s="3" t="s">
        <v>147</v>
      </c>
      <c r="Y471" s="3">
        <v>0</v>
      </c>
      <c r="Z471" s="3">
        <v>0</v>
      </c>
      <c r="AA471" s="3">
        <v>0</v>
      </c>
      <c r="AB471" s="3">
        <v>0</v>
      </c>
      <c r="AC471" s="3">
        <v>54</v>
      </c>
      <c r="AD471" s="3">
        <v>8</v>
      </c>
      <c r="AE471" s="3">
        <v>14</v>
      </c>
      <c r="AF471" s="3" t="s">
        <v>0</v>
      </c>
      <c r="AG471" s="3" t="s">
        <v>49</v>
      </c>
    </row>
    <row r="472" spans="1:33" ht="89.25" x14ac:dyDescent="0.2">
      <c r="A472" s="5" t="str">
        <f>HYPERLINK("http://www.patentics.cn/invokexml.do?sf=ShowPatent&amp;spn=CN102422696B&amp;sv=e5b9a4b895c51c8c5f7a878516ee0b4b","CN102422696B")</f>
        <v>CN102422696B</v>
      </c>
      <c r="B472" s="3" t="s">
        <v>2172</v>
      </c>
      <c r="C472" s="3" t="s">
        <v>2173</v>
      </c>
      <c r="D472" s="3" t="s">
        <v>338</v>
      </c>
      <c r="E472" s="3" t="s">
        <v>338</v>
      </c>
      <c r="F472" s="3" t="s">
        <v>2174</v>
      </c>
      <c r="G472" s="3" t="s">
        <v>2175</v>
      </c>
      <c r="H472" s="3" t="s">
        <v>885</v>
      </c>
      <c r="I472" s="3" t="s">
        <v>2176</v>
      </c>
      <c r="J472" s="3" t="s">
        <v>2177</v>
      </c>
      <c r="K472" s="3" t="s">
        <v>82</v>
      </c>
      <c r="L472" s="3" t="s">
        <v>244</v>
      </c>
      <c r="M472" s="3" t="s">
        <v>0</v>
      </c>
      <c r="N472" s="3" t="s">
        <v>0</v>
      </c>
      <c r="O472" s="3">
        <v>22</v>
      </c>
      <c r="P472" s="3">
        <v>7</v>
      </c>
      <c r="Q472" s="3" t="s">
        <v>60</v>
      </c>
      <c r="R472" s="3" t="s">
        <v>61</v>
      </c>
      <c r="S472" s="3">
        <v>3</v>
      </c>
      <c r="T472" s="3">
        <v>0</v>
      </c>
      <c r="U472" s="3">
        <v>3</v>
      </c>
      <c r="V472" s="3">
        <v>3</v>
      </c>
      <c r="W472" s="3">
        <v>0</v>
      </c>
      <c r="X472" s="3" t="s">
        <v>147</v>
      </c>
      <c r="Y472" s="3">
        <v>0</v>
      </c>
      <c r="Z472" s="3">
        <v>0</v>
      </c>
      <c r="AA472" s="3">
        <v>0</v>
      </c>
      <c r="AB472" s="3">
        <v>0</v>
      </c>
      <c r="AC472" s="3">
        <v>54</v>
      </c>
      <c r="AD472" s="3">
        <v>8</v>
      </c>
      <c r="AE472" s="3">
        <v>14</v>
      </c>
      <c r="AF472" s="3" t="s">
        <v>0</v>
      </c>
      <c r="AG472" s="3" t="s">
        <v>49</v>
      </c>
    </row>
    <row r="473" spans="1:33" ht="38.25" x14ac:dyDescent="0.2">
      <c r="A473" s="4" t="str">
        <f>HYPERLINK("http://www.patentics.cn/invokexml.do?sf=ShowPatent&amp;spn=CN1595836&amp;sv=75107de5480b478d8555dc8364bff2a1","CN1595836")</f>
        <v>CN1595836</v>
      </c>
      <c r="B473" s="2" t="s">
        <v>2178</v>
      </c>
      <c r="C473" s="2" t="s">
        <v>2179</v>
      </c>
      <c r="D473" s="2" t="s">
        <v>38</v>
      </c>
      <c r="E473" s="2" t="s">
        <v>38</v>
      </c>
      <c r="F473" s="2" t="s">
        <v>2180</v>
      </c>
      <c r="G473" s="2" t="s">
        <v>2181</v>
      </c>
      <c r="H473" s="2" t="s">
        <v>2182</v>
      </c>
      <c r="I473" s="2" t="s">
        <v>2182</v>
      </c>
      <c r="J473" s="2" t="s">
        <v>79</v>
      </c>
      <c r="K473" s="2" t="s">
        <v>84</v>
      </c>
      <c r="L473" s="2" t="s">
        <v>1922</v>
      </c>
      <c r="M473" s="2" t="s">
        <v>84</v>
      </c>
      <c r="N473" s="2" t="s">
        <v>2183</v>
      </c>
      <c r="O473" s="2">
        <v>10</v>
      </c>
      <c r="P473" s="2">
        <v>20</v>
      </c>
      <c r="Q473" s="2" t="s">
        <v>46</v>
      </c>
      <c r="R473" s="2" t="s">
        <v>47</v>
      </c>
      <c r="S473" s="2">
        <v>0</v>
      </c>
      <c r="T473" s="2">
        <v>0</v>
      </c>
      <c r="U473" s="2">
        <v>0</v>
      </c>
      <c r="V473" s="2">
        <v>0</v>
      </c>
      <c r="W473" s="2">
        <v>13</v>
      </c>
      <c r="X473" s="2" t="s">
        <v>2184</v>
      </c>
      <c r="Y473" s="2">
        <v>0</v>
      </c>
      <c r="Z473" s="2">
        <v>13</v>
      </c>
      <c r="AA473" s="2">
        <v>7</v>
      </c>
      <c r="AB473" s="2">
        <v>2</v>
      </c>
      <c r="AC473" s="2">
        <v>1</v>
      </c>
      <c r="AD473" s="2">
        <v>1</v>
      </c>
      <c r="AE473" s="2" t="s">
        <v>0</v>
      </c>
      <c r="AF473" s="2">
        <v>6</v>
      </c>
      <c r="AG473" s="2" t="s">
        <v>49</v>
      </c>
    </row>
    <row r="474" spans="1:33" ht="114.75" x14ac:dyDescent="0.2">
      <c r="A474" s="5" t="str">
        <f>HYPERLINK("http://www.patentics.cn/invokexml.do?sf=ShowPatent&amp;spn=US8614975&amp;sv=ef3262d8002b9ac7311f4ebc3f132e63","US8614975")</f>
        <v>US8614975</v>
      </c>
      <c r="B474" s="3" t="s">
        <v>2185</v>
      </c>
      <c r="C474" s="3" t="s">
        <v>2186</v>
      </c>
      <c r="D474" s="3" t="s">
        <v>52</v>
      </c>
      <c r="E474" s="3" t="s">
        <v>52</v>
      </c>
      <c r="F474" s="3" t="s">
        <v>2187</v>
      </c>
      <c r="G474" s="3" t="s">
        <v>193</v>
      </c>
      <c r="H474" s="3" t="s">
        <v>2188</v>
      </c>
      <c r="I474" s="3" t="s">
        <v>1262</v>
      </c>
      <c r="J474" s="3" t="s">
        <v>2189</v>
      </c>
      <c r="K474" s="3" t="s">
        <v>82</v>
      </c>
      <c r="L474" s="3" t="s">
        <v>83</v>
      </c>
      <c r="M474" s="3" t="s">
        <v>82</v>
      </c>
      <c r="N474" s="3" t="s">
        <v>2190</v>
      </c>
      <c r="O474" s="3">
        <v>0</v>
      </c>
      <c r="P474" s="3">
        <v>8</v>
      </c>
      <c r="Q474" s="3" t="s">
        <v>60</v>
      </c>
      <c r="R474" s="3" t="s">
        <v>61</v>
      </c>
      <c r="S474" s="3">
        <v>95</v>
      </c>
      <c r="T474" s="3">
        <v>14</v>
      </c>
      <c r="U474" s="3">
        <v>81</v>
      </c>
      <c r="V474" s="3">
        <v>40</v>
      </c>
      <c r="W474" s="3">
        <v>12</v>
      </c>
      <c r="X474" s="3" t="s">
        <v>2191</v>
      </c>
      <c r="Y474" s="3">
        <v>5</v>
      </c>
      <c r="Z474" s="3">
        <v>7</v>
      </c>
      <c r="AA474" s="3">
        <v>2</v>
      </c>
      <c r="AB474" s="3">
        <v>3</v>
      </c>
      <c r="AC474" s="3">
        <v>27</v>
      </c>
      <c r="AD474" s="3">
        <v>12</v>
      </c>
      <c r="AE474" s="3">
        <v>14</v>
      </c>
      <c r="AF474" s="3" t="s">
        <v>0</v>
      </c>
      <c r="AG474" s="3" t="s">
        <v>49</v>
      </c>
    </row>
    <row r="475" spans="1:33" ht="63.75" x14ac:dyDescent="0.2">
      <c r="A475" s="5" t="str">
        <f>HYPERLINK("http://www.patentics.cn/invokexml.do?sf=ShowPatent&amp;spn=US8688139&amp;sv=2a1cad4956a1ee8e6cfa2ee61458ab0b","US8688139")</f>
        <v>US8688139</v>
      </c>
      <c r="B475" s="3" t="s">
        <v>2192</v>
      </c>
      <c r="C475" s="3" t="s">
        <v>2193</v>
      </c>
      <c r="D475" s="3" t="s">
        <v>52</v>
      </c>
      <c r="E475" s="3" t="s">
        <v>52</v>
      </c>
      <c r="F475" s="3" t="s">
        <v>2194</v>
      </c>
      <c r="G475" s="3" t="s">
        <v>2195</v>
      </c>
      <c r="H475" s="3" t="s">
        <v>2196</v>
      </c>
      <c r="I475" s="3" t="s">
        <v>2197</v>
      </c>
      <c r="J475" s="3" t="s">
        <v>996</v>
      </c>
      <c r="K475" s="3" t="s">
        <v>82</v>
      </c>
      <c r="L475" s="3" t="s">
        <v>806</v>
      </c>
      <c r="M475" s="3" t="s">
        <v>1935</v>
      </c>
      <c r="N475" s="3" t="s">
        <v>2198</v>
      </c>
      <c r="O475" s="3">
        <v>0</v>
      </c>
      <c r="P475" s="3">
        <v>10</v>
      </c>
      <c r="Q475" s="3" t="s">
        <v>60</v>
      </c>
      <c r="R475" s="3" t="s">
        <v>61</v>
      </c>
      <c r="S475" s="3">
        <v>94</v>
      </c>
      <c r="T475" s="3">
        <v>13</v>
      </c>
      <c r="U475" s="3">
        <v>81</v>
      </c>
      <c r="V475" s="3">
        <v>40</v>
      </c>
      <c r="W475" s="3">
        <v>3</v>
      </c>
      <c r="X475" s="3" t="s">
        <v>1756</v>
      </c>
      <c r="Y475" s="3">
        <v>1</v>
      </c>
      <c r="Z475" s="3">
        <v>2</v>
      </c>
      <c r="AA475" s="3">
        <v>3</v>
      </c>
      <c r="AB475" s="3">
        <v>1</v>
      </c>
      <c r="AC475" s="3">
        <v>7</v>
      </c>
      <c r="AD475" s="3">
        <v>6</v>
      </c>
      <c r="AE475" s="3">
        <v>14</v>
      </c>
      <c r="AF475" s="3" t="s">
        <v>0</v>
      </c>
      <c r="AG475" s="3" t="s">
        <v>49</v>
      </c>
    </row>
    <row r="476" spans="1:33" ht="153" x14ac:dyDescent="0.2">
      <c r="A476" s="5" t="str">
        <f>HYPERLINK("http://www.patentics.cn/invokexml.do?sf=ShowPatent&amp;spn=US8982851&amp;sv=6db3a292cec08407bc74bd362560e577","US8982851")</f>
        <v>US8982851</v>
      </c>
      <c r="B476" s="3" t="s">
        <v>2199</v>
      </c>
      <c r="C476" s="3" t="s">
        <v>2200</v>
      </c>
      <c r="D476" s="3" t="s">
        <v>52</v>
      </c>
      <c r="E476" s="3" t="s">
        <v>52</v>
      </c>
      <c r="F476" s="3" t="s">
        <v>2201</v>
      </c>
      <c r="G476" s="3" t="s">
        <v>141</v>
      </c>
      <c r="H476" s="3" t="s">
        <v>2202</v>
      </c>
      <c r="I476" s="3" t="s">
        <v>2203</v>
      </c>
      <c r="J476" s="3" t="s">
        <v>1270</v>
      </c>
      <c r="K476" s="3" t="s">
        <v>84</v>
      </c>
      <c r="L476" s="3" t="s">
        <v>114</v>
      </c>
      <c r="M476" s="3" t="s">
        <v>58</v>
      </c>
      <c r="N476" s="3" t="s">
        <v>335</v>
      </c>
      <c r="O476" s="3">
        <v>0</v>
      </c>
      <c r="P476" s="3">
        <v>7</v>
      </c>
      <c r="Q476" s="3" t="s">
        <v>60</v>
      </c>
      <c r="R476" s="3" t="s">
        <v>61</v>
      </c>
      <c r="S476" s="3">
        <v>129</v>
      </c>
      <c r="T476" s="3">
        <v>27</v>
      </c>
      <c r="U476" s="3">
        <v>102</v>
      </c>
      <c r="V476" s="3">
        <v>47</v>
      </c>
      <c r="W476" s="3">
        <v>7</v>
      </c>
      <c r="X476" s="3" t="s">
        <v>2204</v>
      </c>
      <c r="Y476" s="3">
        <v>1</v>
      </c>
      <c r="Z476" s="3">
        <v>6</v>
      </c>
      <c r="AA476" s="3">
        <v>2</v>
      </c>
      <c r="AB476" s="3">
        <v>2</v>
      </c>
      <c r="AC476" s="3">
        <v>26</v>
      </c>
      <c r="AD476" s="3">
        <v>11</v>
      </c>
      <c r="AE476" s="3">
        <v>14</v>
      </c>
      <c r="AF476" s="3" t="s">
        <v>0</v>
      </c>
      <c r="AG476" s="3" t="s">
        <v>49</v>
      </c>
    </row>
    <row r="477" spans="1:33" ht="127.5" x14ac:dyDescent="0.2">
      <c r="A477" s="5" t="str">
        <f>HYPERLINK("http://www.patentics.cn/invokexml.do?sf=ShowPatent&amp;spn=US9001742&amp;sv=09432c87f7515f47e30583d28aa0020a","US9001742")</f>
        <v>US9001742</v>
      </c>
      <c r="B477" s="3" t="s">
        <v>2205</v>
      </c>
      <c r="C477" s="3" t="s">
        <v>2186</v>
      </c>
      <c r="D477" s="3" t="s">
        <v>52</v>
      </c>
      <c r="E477" s="3" t="s">
        <v>52</v>
      </c>
      <c r="F477" s="3" t="s">
        <v>2206</v>
      </c>
      <c r="G477" s="3" t="s">
        <v>193</v>
      </c>
      <c r="H477" s="3" t="s">
        <v>2188</v>
      </c>
      <c r="I477" s="3" t="s">
        <v>2207</v>
      </c>
      <c r="J477" s="3" t="s">
        <v>1071</v>
      </c>
      <c r="K477" s="3" t="s">
        <v>82</v>
      </c>
      <c r="L477" s="3" t="s">
        <v>83</v>
      </c>
      <c r="M477" s="3" t="s">
        <v>82</v>
      </c>
      <c r="N477" s="3" t="s">
        <v>2190</v>
      </c>
      <c r="O477" s="3">
        <v>0</v>
      </c>
      <c r="P477" s="3">
        <v>9</v>
      </c>
      <c r="Q477" s="3" t="s">
        <v>60</v>
      </c>
      <c r="R477" s="3" t="s">
        <v>61</v>
      </c>
      <c r="S477" s="3">
        <v>129</v>
      </c>
      <c r="T477" s="3">
        <v>28</v>
      </c>
      <c r="U477" s="3">
        <v>101</v>
      </c>
      <c r="V477" s="3">
        <v>47</v>
      </c>
      <c r="W477" s="3">
        <v>6</v>
      </c>
      <c r="X477" s="3" t="s">
        <v>147</v>
      </c>
      <c r="Y477" s="3">
        <v>0</v>
      </c>
      <c r="Z477" s="3">
        <v>6</v>
      </c>
      <c r="AA477" s="3">
        <v>0</v>
      </c>
      <c r="AB477" s="3">
        <v>1</v>
      </c>
      <c r="AC477" s="3">
        <v>27</v>
      </c>
      <c r="AD477" s="3">
        <v>12</v>
      </c>
      <c r="AE477" s="3">
        <v>14</v>
      </c>
      <c r="AF477" s="3" t="s">
        <v>0</v>
      </c>
      <c r="AG477" s="3" t="s">
        <v>49</v>
      </c>
    </row>
    <row r="478" spans="1:33" ht="76.5" x14ac:dyDescent="0.2">
      <c r="A478" s="5" t="str">
        <f>HYPERLINK("http://www.patentics.cn/invokexml.do?sf=ShowPatent&amp;spn=US9091746&amp;sv=0b33a2c5e65b8842d9cdbd3fc979bd02","US9091746")</f>
        <v>US9091746</v>
      </c>
      <c r="B478" s="3" t="s">
        <v>2208</v>
      </c>
      <c r="C478" s="3" t="s">
        <v>2209</v>
      </c>
      <c r="D478" s="3" t="s">
        <v>52</v>
      </c>
      <c r="E478" s="3" t="s">
        <v>52</v>
      </c>
      <c r="F478" s="3" t="s">
        <v>2210</v>
      </c>
      <c r="G478" s="3" t="s">
        <v>2211</v>
      </c>
      <c r="H478" s="3" t="s">
        <v>2212</v>
      </c>
      <c r="I478" s="3" t="s">
        <v>2213</v>
      </c>
      <c r="J478" s="3" t="s">
        <v>2214</v>
      </c>
      <c r="K478" s="3" t="s">
        <v>82</v>
      </c>
      <c r="L478" s="3" t="s">
        <v>2215</v>
      </c>
      <c r="M478" s="3" t="s">
        <v>0</v>
      </c>
      <c r="N478" s="3" t="s">
        <v>0</v>
      </c>
      <c r="O478" s="3">
        <v>0</v>
      </c>
      <c r="P478" s="3">
        <v>13</v>
      </c>
      <c r="Q478" s="3" t="s">
        <v>60</v>
      </c>
      <c r="R478" s="3" t="s">
        <v>61</v>
      </c>
      <c r="S478" s="3">
        <v>130</v>
      </c>
      <c r="T478" s="3">
        <v>28</v>
      </c>
      <c r="U478" s="3">
        <v>102</v>
      </c>
      <c r="V478" s="3">
        <v>47</v>
      </c>
      <c r="W478" s="3">
        <v>0</v>
      </c>
      <c r="X478" s="3" t="s">
        <v>147</v>
      </c>
      <c r="Y478" s="3">
        <v>0</v>
      </c>
      <c r="Z478" s="3">
        <v>0</v>
      </c>
      <c r="AA478" s="3">
        <v>0</v>
      </c>
      <c r="AB478" s="3">
        <v>0</v>
      </c>
      <c r="AC478" s="3">
        <v>13</v>
      </c>
      <c r="AD478" s="3">
        <v>6</v>
      </c>
      <c r="AE478" s="3">
        <v>14</v>
      </c>
      <c r="AF478" s="3" t="s">
        <v>0</v>
      </c>
      <c r="AG478" s="3" t="s">
        <v>49</v>
      </c>
    </row>
    <row r="479" spans="1:33" ht="63.75" x14ac:dyDescent="0.2">
      <c r="A479" s="5" t="str">
        <f>HYPERLINK("http://www.patentics.cn/invokexml.do?sf=ShowPatent&amp;spn=CN102160433B&amp;sv=fb6a3273b5cc6761deaacfd6797e3f61","CN102160433B")</f>
        <v>CN102160433B</v>
      </c>
      <c r="B479" s="3" t="s">
        <v>2216</v>
      </c>
      <c r="C479" s="3" t="s">
        <v>2217</v>
      </c>
      <c r="D479" s="3" t="s">
        <v>338</v>
      </c>
      <c r="E479" s="3" t="s">
        <v>338</v>
      </c>
      <c r="F479" s="3" t="s">
        <v>2218</v>
      </c>
      <c r="G479" s="3" t="s">
        <v>2219</v>
      </c>
      <c r="H479" s="3" t="s">
        <v>2188</v>
      </c>
      <c r="I479" s="3" t="s">
        <v>2220</v>
      </c>
      <c r="J479" s="3" t="s">
        <v>2221</v>
      </c>
      <c r="K479" s="3" t="s">
        <v>82</v>
      </c>
      <c r="L479" s="3" t="s">
        <v>2222</v>
      </c>
      <c r="M479" s="3" t="s">
        <v>0</v>
      </c>
      <c r="N479" s="3" t="s">
        <v>0</v>
      </c>
      <c r="O479" s="3">
        <v>36</v>
      </c>
      <c r="P479" s="3">
        <v>11</v>
      </c>
      <c r="Q479" s="3" t="s">
        <v>60</v>
      </c>
      <c r="R479" s="3" t="s">
        <v>61</v>
      </c>
      <c r="S479" s="3">
        <v>3</v>
      </c>
      <c r="T479" s="3">
        <v>0</v>
      </c>
      <c r="U479" s="3">
        <v>3</v>
      </c>
      <c r="V479" s="3">
        <v>3</v>
      </c>
      <c r="W479" s="3">
        <v>6</v>
      </c>
      <c r="X479" s="3" t="s">
        <v>147</v>
      </c>
      <c r="Y479" s="3">
        <v>0</v>
      </c>
      <c r="Z479" s="3">
        <v>6</v>
      </c>
      <c r="AA479" s="3">
        <v>0</v>
      </c>
      <c r="AB479" s="3">
        <v>1</v>
      </c>
      <c r="AC479" s="3">
        <v>27</v>
      </c>
      <c r="AD479" s="3">
        <v>12</v>
      </c>
      <c r="AE479" s="3">
        <v>14</v>
      </c>
      <c r="AF479" s="3" t="s">
        <v>0</v>
      </c>
      <c r="AG479" s="3" t="s">
        <v>49</v>
      </c>
    </row>
    <row r="480" spans="1:33" ht="102" x14ac:dyDescent="0.2">
      <c r="A480" s="4" t="str">
        <f>HYPERLINK("http://www.patentics.cn/invokexml.do?sf=ShowPatent&amp;spn=US20100130212&amp;sv=4173e5f26052b14ed220d85902fe0f0c","US20100130212")</f>
        <v>US20100130212</v>
      </c>
      <c r="B480" s="2" t="s">
        <v>2223</v>
      </c>
      <c r="C480" s="2" t="s">
        <v>2224</v>
      </c>
      <c r="D480" s="2" t="s">
        <v>346</v>
      </c>
      <c r="E480" s="2" t="s">
        <v>346</v>
      </c>
      <c r="F480" s="2" t="s">
        <v>2225</v>
      </c>
      <c r="G480" s="2" t="s">
        <v>2226</v>
      </c>
      <c r="H480" s="2" t="s">
        <v>2227</v>
      </c>
      <c r="I480" s="2" t="s">
        <v>1746</v>
      </c>
      <c r="J480" s="2" t="s">
        <v>2228</v>
      </c>
      <c r="K480" s="2" t="s">
        <v>82</v>
      </c>
      <c r="L480" s="2" t="s">
        <v>177</v>
      </c>
      <c r="M480" s="2" t="s">
        <v>82</v>
      </c>
      <c r="N480" s="2" t="s">
        <v>2229</v>
      </c>
      <c r="O480" s="2">
        <v>22</v>
      </c>
      <c r="P480" s="2">
        <v>11</v>
      </c>
      <c r="Q480" s="2" t="s">
        <v>352</v>
      </c>
      <c r="R480" s="2" t="s">
        <v>61</v>
      </c>
      <c r="S480" s="2">
        <v>0</v>
      </c>
      <c r="T480" s="2">
        <v>0</v>
      </c>
      <c r="U480" s="2">
        <v>0</v>
      </c>
      <c r="V480" s="2">
        <v>0</v>
      </c>
      <c r="W480" s="2">
        <v>35</v>
      </c>
      <c r="X480" s="2" t="s">
        <v>2230</v>
      </c>
      <c r="Y480" s="2">
        <v>0</v>
      </c>
      <c r="Z480" s="2">
        <v>35</v>
      </c>
      <c r="AA480" s="2">
        <v>21</v>
      </c>
      <c r="AB480" s="2">
        <v>2</v>
      </c>
      <c r="AC480" s="2">
        <v>4</v>
      </c>
      <c r="AD480" s="2">
        <v>5</v>
      </c>
      <c r="AE480" s="2" t="s">
        <v>0</v>
      </c>
      <c r="AF480" s="2">
        <v>6</v>
      </c>
      <c r="AG480" s="2" t="s">
        <v>2231</v>
      </c>
    </row>
    <row r="481" spans="1:33" ht="102" x14ac:dyDescent="0.2">
      <c r="A481" s="5" t="str">
        <f>HYPERLINK("http://www.patentics.cn/invokexml.do?sf=ShowPatent&amp;spn=US8838096&amp;sv=c2464a020e23c6a21dad6dcf718d0f9a","US8838096")</f>
        <v>US8838096</v>
      </c>
      <c r="B481" s="3" t="s">
        <v>2232</v>
      </c>
      <c r="C481" s="3" t="s">
        <v>2233</v>
      </c>
      <c r="D481" s="3" t="s">
        <v>52</v>
      </c>
      <c r="E481" s="3" t="s">
        <v>52</v>
      </c>
      <c r="F481" s="3" t="s">
        <v>2234</v>
      </c>
      <c r="G481" s="3" t="s">
        <v>1016</v>
      </c>
      <c r="H481" s="3" t="s">
        <v>2235</v>
      </c>
      <c r="I481" s="3" t="s">
        <v>2235</v>
      </c>
      <c r="J481" s="3" t="s">
        <v>1045</v>
      </c>
      <c r="K481" s="3" t="s">
        <v>82</v>
      </c>
      <c r="L481" s="3" t="s">
        <v>83</v>
      </c>
      <c r="M481" s="3" t="s">
        <v>82</v>
      </c>
      <c r="N481" s="3" t="s">
        <v>807</v>
      </c>
      <c r="O481" s="3">
        <v>0</v>
      </c>
      <c r="P481" s="3">
        <v>14</v>
      </c>
      <c r="Q481" s="3" t="s">
        <v>60</v>
      </c>
      <c r="R481" s="3" t="s">
        <v>61</v>
      </c>
      <c r="S481" s="3">
        <v>158</v>
      </c>
      <c r="T481" s="3">
        <v>21</v>
      </c>
      <c r="U481" s="3">
        <v>137</v>
      </c>
      <c r="V481" s="3">
        <v>63</v>
      </c>
      <c r="W481" s="3">
        <v>0</v>
      </c>
      <c r="X481" s="3" t="s">
        <v>147</v>
      </c>
      <c r="Y481" s="3">
        <v>0</v>
      </c>
      <c r="Z481" s="3">
        <v>0</v>
      </c>
      <c r="AA481" s="3">
        <v>0</v>
      </c>
      <c r="AB481" s="3">
        <v>0</v>
      </c>
      <c r="AC481" s="3">
        <v>3</v>
      </c>
      <c r="AD481" s="3">
        <v>3</v>
      </c>
      <c r="AE481" s="3">
        <v>14</v>
      </c>
      <c r="AF481" s="3" t="s">
        <v>0</v>
      </c>
      <c r="AG481" s="3" t="s">
        <v>49</v>
      </c>
    </row>
    <row r="482" spans="1:33" ht="191.25" x14ac:dyDescent="0.2">
      <c r="A482" s="5" t="str">
        <f>HYPERLINK("http://www.patentics.cn/invokexml.do?sf=ShowPatent&amp;spn=US8855007&amp;sv=6fb003d9296d568fc0f14242d4bec734","US8855007")</f>
        <v>US8855007</v>
      </c>
      <c r="B482" s="3" t="s">
        <v>2236</v>
      </c>
      <c r="C482" s="3" t="s">
        <v>2237</v>
      </c>
      <c r="D482" s="3" t="s">
        <v>52</v>
      </c>
      <c r="E482" s="3" t="s">
        <v>52</v>
      </c>
      <c r="F482" s="3" t="s">
        <v>2238</v>
      </c>
      <c r="G482" s="3" t="s">
        <v>2239</v>
      </c>
      <c r="H482" s="3" t="s">
        <v>2240</v>
      </c>
      <c r="I482" s="3" t="s">
        <v>2241</v>
      </c>
      <c r="J482" s="3" t="s">
        <v>485</v>
      </c>
      <c r="K482" s="3" t="s">
        <v>58</v>
      </c>
      <c r="L482" s="3" t="s">
        <v>289</v>
      </c>
      <c r="M482" s="3" t="s">
        <v>82</v>
      </c>
      <c r="N482" s="3" t="s">
        <v>1466</v>
      </c>
      <c r="O482" s="3">
        <v>0</v>
      </c>
      <c r="P482" s="3">
        <v>6</v>
      </c>
      <c r="Q482" s="3" t="s">
        <v>60</v>
      </c>
      <c r="R482" s="3" t="s">
        <v>61</v>
      </c>
      <c r="S482" s="3">
        <v>72</v>
      </c>
      <c r="T482" s="3">
        <v>4</v>
      </c>
      <c r="U482" s="3">
        <v>68</v>
      </c>
      <c r="V482" s="3">
        <v>30</v>
      </c>
      <c r="W482" s="3">
        <v>19</v>
      </c>
      <c r="X482" s="3" t="s">
        <v>1799</v>
      </c>
      <c r="Y482" s="3">
        <v>3</v>
      </c>
      <c r="Z482" s="3">
        <v>16</v>
      </c>
      <c r="AA482" s="3">
        <v>1</v>
      </c>
      <c r="AB482" s="3">
        <v>2</v>
      </c>
      <c r="AC482" s="3">
        <v>43</v>
      </c>
      <c r="AD482" s="3">
        <v>14</v>
      </c>
      <c r="AE482" s="3">
        <v>14</v>
      </c>
      <c r="AF482" s="3" t="s">
        <v>0</v>
      </c>
      <c r="AG482" s="3" t="s">
        <v>49</v>
      </c>
    </row>
    <row r="483" spans="1:33" ht="76.5" x14ac:dyDescent="0.2">
      <c r="A483" s="5" t="str">
        <f>HYPERLINK("http://www.patentics.cn/invokexml.do?sf=ShowPatent&amp;spn=US8923892&amp;sv=2ffe458dfa7fc444c0430b3c8dd63f49","US8923892")</f>
        <v>US8923892</v>
      </c>
      <c r="B483" s="3" t="s">
        <v>2242</v>
      </c>
      <c r="C483" s="3" t="s">
        <v>2243</v>
      </c>
      <c r="D483" s="3" t="s">
        <v>52</v>
      </c>
      <c r="E483" s="3" t="s">
        <v>52</v>
      </c>
      <c r="F483" s="3" t="s">
        <v>2244</v>
      </c>
      <c r="G483" s="3" t="s">
        <v>2245</v>
      </c>
      <c r="H483" s="3" t="s">
        <v>2246</v>
      </c>
      <c r="I483" s="3" t="s">
        <v>2247</v>
      </c>
      <c r="J483" s="3" t="s">
        <v>2248</v>
      </c>
      <c r="K483" s="3" t="s">
        <v>82</v>
      </c>
      <c r="L483" s="3" t="s">
        <v>806</v>
      </c>
      <c r="M483" s="3" t="s">
        <v>82</v>
      </c>
      <c r="N483" s="3" t="s">
        <v>2003</v>
      </c>
      <c r="O483" s="3">
        <v>0</v>
      </c>
      <c r="P483" s="3">
        <v>16</v>
      </c>
      <c r="Q483" s="3" t="s">
        <v>60</v>
      </c>
      <c r="R483" s="3" t="s">
        <v>61</v>
      </c>
      <c r="S483" s="3">
        <v>157</v>
      </c>
      <c r="T483" s="3">
        <v>21</v>
      </c>
      <c r="U483" s="3">
        <v>136</v>
      </c>
      <c r="V483" s="3">
        <v>62</v>
      </c>
      <c r="W483" s="3">
        <v>0</v>
      </c>
      <c r="X483" s="3" t="s">
        <v>147</v>
      </c>
      <c r="Y483" s="3">
        <v>0</v>
      </c>
      <c r="Z483" s="3">
        <v>0</v>
      </c>
      <c r="AA483" s="3">
        <v>0</v>
      </c>
      <c r="AB483" s="3">
        <v>0</v>
      </c>
      <c r="AC483" s="3">
        <v>8</v>
      </c>
      <c r="AD483" s="3">
        <v>7</v>
      </c>
      <c r="AE483" s="3">
        <v>14</v>
      </c>
      <c r="AF483" s="3" t="s">
        <v>0</v>
      </c>
      <c r="AG483" s="3" t="s">
        <v>49</v>
      </c>
    </row>
    <row r="484" spans="1:33" ht="38.25" x14ac:dyDescent="0.2">
      <c r="A484" s="5" t="str">
        <f>HYPERLINK("http://www.patentics.cn/invokexml.do?sf=ShowPatent&amp;spn=US9137745&amp;sv=97696cc8feac4fbae21178ef16020b8d","US9137745")</f>
        <v>US9137745</v>
      </c>
      <c r="B484" s="3" t="s">
        <v>2249</v>
      </c>
      <c r="C484" s="3" t="s">
        <v>2250</v>
      </c>
      <c r="D484" s="3" t="s">
        <v>52</v>
      </c>
      <c r="E484" s="3" t="s">
        <v>52</v>
      </c>
      <c r="F484" s="3" t="s">
        <v>1016</v>
      </c>
      <c r="G484" s="3" t="s">
        <v>1016</v>
      </c>
      <c r="H484" s="3" t="s">
        <v>2251</v>
      </c>
      <c r="I484" s="3" t="s">
        <v>2252</v>
      </c>
      <c r="J484" s="3" t="s">
        <v>225</v>
      </c>
      <c r="K484" s="3" t="s">
        <v>82</v>
      </c>
      <c r="L484" s="3" t="s">
        <v>83</v>
      </c>
      <c r="M484" s="3" t="s">
        <v>82</v>
      </c>
      <c r="N484" s="3" t="s">
        <v>2253</v>
      </c>
      <c r="O484" s="3">
        <v>0</v>
      </c>
      <c r="P484" s="3">
        <v>24</v>
      </c>
      <c r="Q484" s="3" t="s">
        <v>60</v>
      </c>
      <c r="R484" s="3" t="s">
        <v>61</v>
      </c>
      <c r="S484" s="3">
        <v>165</v>
      </c>
      <c r="T484" s="3">
        <v>22</v>
      </c>
      <c r="U484" s="3">
        <v>143</v>
      </c>
      <c r="V484" s="3">
        <v>65</v>
      </c>
      <c r="W484" s="3">
        <v>0</v>
      </c>
      <c r="X484" s="3" t="s">
        <v>147</v>
      </c>
      <c r="Y484" s="3">
        <v>0</v>
      </c>
      <c r="Z484" s="3">
        <v>0</v>
      </c>
      <c r="AA484" s="3">
        <v>0</v>
      </c>
      <c r="AB484" s="3">
        <v>0</v>
      </c>
      <c r="AC484" s="3">
        <v>70</v>
      </c>
      <c r="AD484" s="3">
        <v>16</v>
      </c>
      <c r="AE484" s="3">
        <v>14</v>
      </c>
      <c r="AF484" s="3" t="s">
        <v>0</v>
      </c>
      <c r="AG484" s="3" t="s">
        <v>49</v>
      </c>
    </row>
    <row r="485" spans="1:33" ht="89.25" x14ac:dyDescent="0.2">
      <c r="A485" s="5" t="str">
        <f>HYPERLINK("http://www.patentics.cn/invokexml.do?sf=ShowPatent&amp;spn=US9148866&amp;sv=1637eda97b57f7082d1098c16bdf0d74","US9148866")</f>
        <v>US9148866</v>
      </c>
      <c r="B485" s="3" t="s">
        <v>2254</v>
      </c>
      <c r="C485" s="3" t="s">
        <v>2255</v>
      </c>
      <c r="D485" s="3" t="s">
        <v>52</v>
      </c>
      <c r="E485" s="3" t="s">
        <v>52</v>
      </c>
      <c r="F485" s="3" t="s">
        <v>2256</v>
      </c>
      <c r="G485" s="3" t="s">
        <v>2257</v>
      </c>
      <c r="H485" s="3" t="s">
        <v>1534</v>
      </c>
      <c r="I485" s="3" t="s">
        <v>2258</v>
      </c>
      <c r="J485" s="3" t="s">
        <v>248</v>
      </c>
      <c r="K485" s="3" t="s">
        <v>82</v>
      </c>
      <c r="L485" s="3" t="s">
        <v>83</v>
      </c>
      <c r="M485" s="3" t="s">
        <v>82</v>
      </c>
      <c r="N485" s="3" t="s">
        <v>2259</v>
      </c>
      <c r="O485" s="3">
        <v>0</v>
      </c>
      <c r="P485" s="3">
        <v>7</v>
      </c>
      <c r="Q485" s="3" t="s">
        <v>60</v>
      </c>
      <c r="R485" s="3" t="s">
        <v>61</v>
      </c>
      <c r="S485" s="3">
        <v>163</v>
      </c>
      <c r="T485" s="3">
        <v>20</v>
      </c>
      <c r="U485" s="3">
        <v>143</v>
      </c>
      <c r="V485" s="3">
        <v>65</v>
      </c>
      <c r="W485" s="3">
        <v>1</v>
      </c>
      <c r="X485" s="3" t="s">
        <v>74</v>
      </c>
      <c r="Y485" s="3">
        <v>0</v>
      </c>
      <c r="Z485" s="3">
        <v>1</v>
      </c>
      <c r="AA485" s="3">
        <v>1</v>
      </c>
      <c r="AB485" s="3">
        <v>1</v>
      </c>
      <c r="AC485" s="3">
        <v>29</v>
      </c>
      <c r="AD485" s="3">
        <v>16</v>
      </c>
      <c r="AE485" s="3">
        <v>14</v>
      </c>
      <c r="AF485" s="3" t="s">
        <v>0</v>
      </c>
      <c r="AG485" s="3" t="s">
        <v>49</v>
      </c>
    </row>
    <row r="486" spans="1:33" ht="38.25" x14ac:dyDescent="0.2">
      <c r="A486" s="5" t="str">
        <f>HYPERLINK("http://www.patentics.cn/invokexml.do?sf=ShowPatent&amp;spn=US9253653&amp;sv=541a606366f1ede10a71ee9dff51619b","US9253653")</f>
        <v>US9253653</v>
      </c>
      <c r="B486" s="3" t="s">
        <v>2260</v>
      </c>
      <c r="C486" s="3" t="s">
        <v>2261</v>
      </c>
      <c r="D486" s="3" t="s">
        <v>52</v>
      </c>
      <c r="E486" s="3" t="s">
        <v>52</v>
      </c>
      <c r="F486" s="3" t="s">
        <v>1016</v>
      </c>
      <c r="G486" s="3" t="s">
        <v>1016</v>
      </c>
      <c r="H486" s="3" t="s">
        <v>883</v>
      </c>
      <c r="I486" s="3" t="s">
        <v>2262</v>
      </c>
      <c r="J486" s="3" t="s">
        <v>659</v>
      </c>
      <c r="K486" s="3" t="s">
        <v>82</v>
      </c>
      <c r="L486" s="3" t="s">
        <v>2263</v>
      </c>
      <c r="M486" s="3" t="s">
        <v>82</v>
      </c>
      <c r="N486" s="3" t="s">
        <v>958</v>
      </c>
      <c r="O486" s="3">
        <v>0</v>
      </c>
      <c r="P486" s="3">
        <v>20</v>
      </c>
      <c r="Q486" s="3" t="s">
        <v>60</v>
      </c>
      <c r="R486" s="3" t="s">
        <v>61</v>
      </c>
      <c r="S486" s="3">
        <v>168</v>
      </c>
      <c r="T486" s="3">
        <v>22</v>
      </c>
      <c r="U486" s="3">
        <v>146</v>
      </c>
      <c r="V486" s="3">
        <v>65</v>
      </c>
      <c r="W486" s="3">
        <v>0</v>
      </c>
      <c r="X486" s="3" t="s">
        <v>147</v>
      </c>
      <c r="Y486" s="3">
        <v>0</v>
      </c>
      <c r="Z486" s="3">
        <v>0</v>
      </c>
      <c r="AA486" s="3">
        <v>0</v>
      </c>
      <c r="AB486" s="3">
        <v>0</v>
      </c>
      <c r="AC486" s="3">
        <v>32</v>
      </c>
      <c r="AD486" s="3">
        <v>13</v>
      </c>
      <c r="AE486" s="3">
        <v>14</v>
      </c>
      <c r="AF486" s="3" t="s">
        <v>0</v>
      </c>
      <c r="AG486" s="3" t="s">
        <v>49</v>
      </c>
    </row>
    <row r="487" spans="1:33" ht="51" x14ac:dyDescent="0.2">
      <c r="A487" s="4" t="str">
        <f>HYPERLINK("http://www.patentics.cn/invokexml.do?sf=ShowPatent&amp;spn=WO2013029396&amp;sv=31fcd21924cca9770c047002d33d9f5b","WO2013029396")</f>
        <v>WO2013029396</v>
      </c>
      <c r="B487" s="2" t="s">
        <v>2264</v>
      </c>
      <c r="C487" s="2" t="s">
        <v>2265</v>
      </c>
      <c r="D487" s="2" t="s">
        <v>2266</v>
      </c>
      <c r="E487" s="2" t="s">
        <v>2266</v>
      </c>
      <c r="F487" s="2" t="s">
        <v>2267</v>
      </c>
      <c r="G487" s="2" t="s">
        <v>2268</v>
      </c>
      <c r="H487" s="2" t="s">
        <v>2269</v>
      </c>
      <c r="I487" s="2" t="s">
        <v>2270</v>
      </c>
      <c r="J487" s="2" t="s">
        <v>1081</v>
      </c>
      <c r="K487" s="2" t="s">
        <v>82</v>
      </c>
      <c r="L487" s="2" t="s">
        <v>862</v>
      </c>
      <c r="M487" s="2" t="s">
        <v>0</v>
      </c>
      <c r="N487" s="2" t="s">
        <v>0</v>
      </c>
      <c r="O487" s="2">
        <v>7</v>
      </c>
      <c r="P487" s="2">
        <v>21</v>
      </c>
      <c r="Q487" s="2" t="s">
        <v>352</v>
      </c>
      <c r="R487" s="2" t="s">
        <v>47</v>
      </c>
      <c r="S487" s="2">
        <v>3</v>
      </c>
      <c r="T487" s="2">
        <v>2</v>
      </c>
      <c r="U487" s="2">
        <v>1</v>
      </c>
      <c r="V487" s="2">
        <v>2</v>
      </c>
      <c r="W487" s="2">
        <v>5</v>
      </c>
      <c r="X487" s="2" t="s">
        <v>373</v>
      </c>
      <c r="Y487" s="2">
        <v>0</v>
      </c>
      <c r="Z487" s="2">
        <v>5</v>
      </c>
      <c r="AA487" s="2">
        <v>1</v>
      </c>
      <c r="AB487" s="2">
        <v>2</v>
      </c>
      <c r="AC487" s="2">
        <v>3</v>
      </c>
      <c r="AD487" s="2">
        <v>4</v>
      </c>
      <c r="AE487" s="2" t="s">
        <v>0</v>
      </c>
      <c r="AF487" s="2">
        <v>5</v>
      </c>
      <c r="AG487" s="2" t="s">
        <v>0</v>
      </c>
    </row>
    <row r="488" spans="1:33" ht="153" x14ac:dyDescent="0.2">
      <c r="A488" s="5" t="str">
        <f>HYPERLINK("http://www.patentics.cn/invokexml.do?sf=ShowPatent&amp;spn=US9351304&amp;sv=733398e03133dcc8ce36a4f086757580","US9351304")</f>
        <v>US9351304</v>
      </c>
      <c r="B488" s="3" t="s">
        <v>2271</v>
      </c>
      <c r="C488" s="3" t="s">
        <v>2272</v>
      </c>
      <c r="D488" s="3" t="s">
        <v>52</v>
      </c>
      <c r="E488" s="3" t="s">
        <v>52</v>
      </c>
      <c r="F488" s="3" t="s">
        <v>2273</v>
      </c>
      <c r="G488" s="3" t="s">
        <v>2274</v>
      </c>
      <c r="H488" s="3" t="s">
        <v>0</v>
      </c>
      <c r="I488" s="3" t="s">
        <v>2275</v>
      </c>
      <c r="J488" s="3" t="s">
        <v>1184</v>
      </c>
      <c r="K488" s="3" t="s">
        <v>82</v>
      </c>
      <c r="L488" s="3" t="s">
        <v>862</v>
      </c>
      <c r="M488" s="3" t="s">
        <v>82</v>
      </c>
      <c r="N488" s="3" t="s">
        <v>2168</v>
      </c>
      <c r="O488" s="3">
        <v>0</v>
      </c>
      <c r="P488" s="3">
        <v>12</v>
      </c>
      <c r="Q488" s="3" t="s">
        <v>60</v>
      </c>
      <c r="R488" s="3" t="s">
        <v>61</v>
      </c>
      <c r="S488" s="3">
        <v>92</v>
      </c>
      <c r="T488" s="3">
        <v>10</v>
      </c>
      <c r="U488" s="3">
        <v>82</v>
      </c>
      <c r="V488" s="3">
        <v>40</v>
      </c>
      <c r="W488" s="3">
        <v>0</v>
      </c>
      <c r="X488" s="3" t="s">
        <v>147</v>
      </c>
      <c r="Y488" s="3">
        <v>0</v>
      </c>
      <c r="Z488" s="3">
        <v>0</v>
      </c>
      <c r="AA488" s="3">
        <v>0</v>
      </c>
      <c r="AB488" s="3">
        <v>0</v>
      </c>
      <c r="AC488" s="3">
        <v>0</v>
      </c>
      <c r="AD488" s="3">
        <v>0</v>
      </c>
      <c r="AE488" s="3">
        <v>14</v>
      </c>
      <c r="AF488" s="3" t="s">
        <v>0</v>
      </c>
      <c r="AG488" s="3" t="s">
        <v>49</v>
      </c>
    </row>
    <row r="489" spans="1:33" ht="153" x14ac:dyDescent="0.2">
      <c r="A489" s="5" t="str">
        <f>HYPERLINK("http://www.patentics.cn/invokexml.do?sf=ShowPatent&amp;spn=US9414389&amp;sv=f0bc4c0045239ce7311087c8a1c97374","US9414389")</f>
        <v>US9414389</v>
      </c>
      <c r="B489" s="3" t="s">
        <v>2271</v>
      </c>
      <c r="C489" s="3" t="s">
        <v>2272</v>
      </c>
      <c r="D489" s="3" t="s">
        <v>52</v>
      </c>
      <c r="E489" s="3" t="s">
        <v>52</v>
      </c>
      <c r="F489" s="3" t="s">
        <v>2273</v>
      </c>
      <c r="G489" s="3" t="s">
        <v>2274</v>
      </c>
      <c r="H489" s="3" t="s">
        <v>0</v>
      </c>
      <c r="I489" s="3" t="s">
        <v>2275</v>
      </c>
      <c r="J489" s="3" t="s">
        <v>2276</v>
      </c>
      <c r="K489" s="3" t="s">
        <v>82</v>
      </c>
      <c r="L489" s="3" t="s">
        <v>862</v>
      </c>
      <c r="M489" s="3" t="s">
        <v>82</v>
      </c>
      <c r="N489" s="3" t="s">
        <v>2168</v>
      </c>
      <c r="O489" s="3">
        <v>0</v>
      </c>
      <c r="P489" s="3">
        <v>12</v>
      </c>
      <c r="Q489" s="3" t="s">
        <v>60</v>
      </c>
      <c r="R489" s="3" t="s">
        <v>61</v>
      </c>
      <c r="S489" s="3">
        <v>101</v>
      </c>
      <c r="T489" s="3">
        <v>10</v>
      </c>
      <c r="U489" s="3">
        <v>91</v>
      </c>
      <c r="V489" s="3">
        <v>43</v>
      </c>
      <c r="W489" s="3">
        <v>0</v>
      </c>
      <c r="X489" s="3" t="s">
        <v>147</v>
      </c>
      <c r="Y489" s="3">
        <v>0</v>
      </c>
      <c r="Z489" s="3">
        <v>0</v>
      </c>
      <c r="AA489" s="3">
        <v>0</v>
      </c>
      <c r="AB489" s="3">
        <v>0</v>
      </c>
      <c r="AC489" s="3">
        <v>0</v>
      </c>
      <c r="AD489" s="3">
        <v>0</v>
      </c>
      <c r="AE489" s="3">
        <v>14</v>
      </c>
      <c r="AF489" s="3" t="s">
        <v>0</v>
      </c>
      <c r="AG489" s="3" t="s">
        <v>49</v>
      </c>
    </row>
    <row r="490" spans="1:33" ht="114.75" x14ac:dyDescent="0.2">
      <c r="A490" s="5" t="str">
        <f>HYPERLINK("http://www.patentics.cn/invokexml.do?sf=ShowPatent&amp;spn=US9474000&amp;sv=914914f5b329e2ffe7790978660092da","US9474000")</f>
        <v>US9474000</v>
      </c>
      <c r="B490" s="3" t="s">
        <v>2277</v>
      </c>
      <c r="C490" s="3" t="s">
        <v>2278</v>
      </c>
      <c r="D490" s="3" t="s">
        <v>52</v>
      </c>
      <c r="E490" s="3" t="s">
        <v>52</v>
      </c>
      <c r="F490" s="3" t="s">
        <v>2279</v>
      </c>
      <c r="G490" s="3" t="s">
        <v>2274</v>
      </c>
      <c r="H490" s="3" t="s">
        <v>2280</v>
      </c>
      <c r="I490" s="3" t="s">
        <v>2281</v>
      </c>
      <c r="J490" s="3" t="s">
        <v>528</v>
      </c>
      <c r="K490" s="3" t="s">
        <v>82</v>
      </c>
      <c r="L490" s="3" t="s">
        <v>83</v>
      </c>
      <c r="M490" s="3" t="s">
        <v>82</v>
      </c>
      <c r="N490" s="3" t="s">
        <v>1678</v>
      </c>
      <c r="O490" s="3">
        <v>0</v>
      </c>
      <c r="P490" s="3">
        <v>22</v>
      </c>
      <c r="Q490" s="3" t="s">
        <v>60</v>
      </c>
      <c r="R490" s="3" t="s">
        <v>61</v>
      </c>
      <c r="S490" s="3">
        <v>107</v>
      </c>
      <c r="T490" s="3">
        <v>10</v>
      </c>
      <c r="U490" s="3">
        <v>97</v>
      </c>
      <c r="V490" s="3">
        <v>46</v>
      </c>
      <c r="W490" s="3">
        <v>0</v>
      </c>
      <c r="X490" s="3" t="s">
        <v>147</v>
      </c>
      <c r="Y490" s="3">
        <v>0</v>
      </c>
      <c r="Z490" s="3">
        <v>0</v>
      </c>
      <c r="AA490" s="3">
        <v>0</v>
      </c>
      <c r="AB490" s="3">
        <v>0</v>
      </c>
      <c r="AC490" s="3">
        <v>19</v>
      </c>
      <c r="AD490" s="3">
        <v>4</v>
      </c>
      <c r="AE490" s="3">
        <v>14</v>
      </c>
      <c r="AF490" s="3" t="s">
        <v>0</v>
      </c>
      <c r="AG490" s="3" t="s">
        <v>49</v>
      </c>
    </row>
    <row r="491" spans="1:33" ht="153" x14ac:dyDescent="0.2">
      <c r="A491" s="5" t="str">
        <f>HYPERLINK("http://www.patentics.cn/invokexml.do?sf=ShowPatent&amp;spn=US9485771&amp;sv=9ef5790a677d2aa5bf16530d5f966c93","US9485771")</f>
        <v>US9485771</v>
      </c>
      <c r="B491" s="3" t="s">
        <v>2271</v>
      </c>
      <c r="C491" s="3" t="s">
        <v>2272</v>
      </c>
      <c r="D491" s="3" t="s">
        <v>52</v>
      </c>
      <c r="E491" s="3" t="s">
        <v>52</v>
      </c>
      <c r="F491" s="3" t="s">
        <v>2273</v>
      </c>
      <c r="G491" s="3" t="s">
        <v>2274</v>
      </c>
      <c r="H491" s="3" t="s">
        <v>2280</v>
      </c>
      <c r="I491" s="3" t="s">
        <v>2275</v>
      </c>
      <c r="J491" s="3" t="s">
        <v>727</v>
      </c>
      <c r="K491" s="3" t="s">
        <v>82</v>
      </c>
      <c r="L491" s="3" t="s">
        <v>862</v>
      </c>
      <c r="M491" s="3" t="s">
        <v>82</v>
      </c>
      <c r="N491" s="3" t="s">
        <v>2168</v>
      </c>
      <c r="O491" s="3">
        <v>0</v>
      </c>
      <c r="P491" s="3">
        <v>12</v>
      </c>
      <c r="Q491" s="3" t="s">
        <v>60</v>
      </c>
      <c r="R491" s="3" t="s">
        <v>61</v>
      </c>
      <c r="S491" s="3">
        <v>104</v>
      </c>
      <c r="T491" s="3">
        <v>10</v>
      </c>
      <c r="U491" s="3">
        <v>94</v>
      </c>
      <c r="V491" s="3">
        <v>44</v>
      </c>
      <c r="W491" s="3">
        <v>0</v>
      </c>
      <c r="X491" s="3" t="s">
        <v>147</v>
      </c>
      <c r="Y491" s="3">
        <v>0</v>
      </c>
      <c r="Z491" s="3">
        <v>0</v>
      </c>
      <c r="AA491" s="3">
        <v>0</v>
      </c>
      <c r="AB491" s="3">
        <v>0</v>
      </c>
      <c r="AC491" s="3">
        <v>19</v>
      </c>
      <c r="AD491" s="3">
        <v>4</v>
      </c>
      <c r="AE491" s="3">
        <v>14</v>
      </c>
      <c r="AF491" s="3" t="s">
        <v>0</v>
      </c>
      <c r="AG491" s="3" t="s">
        <v>49</v>
      </c>
    </row>
    <row r="492" spans="1:33" ht="140.25" x14ac:dyDescent="0.2">
      <c r="A492" s="5" t="str">
        <f>HYPERLINK("http://www.patentics.cn/invokexml.do?sf=ShowPatent&amp;spn=WO2015017162&amp;sv=969868bd9b17d9bf41c3abd3f1e37f6b","WO2015017162")</f>
        <v>WO2015017162</v>
      </c>
      <c r="B492" s="3" t="s">
        <v>2282</v>
      </c>
      <c r="C492" s="3" t="s">
        <v>2283</v>
      </c>
      <c r="D492" s="3" t="s">
        <v>52</v>
      </c>
      <c r="E492" s="3" t="s">
        <v>52</v>
      </c>
      <c r="F492" s="3" t="s">
        <v>2284</v>
      </c>
      <c r="G492" s="3" t="s">
        <v>2285</v>
      </c>
      <c r="H492" s="3" t="s">
        <v>2280</v>
      </c>
      <c r="I492" s="3" t="s">
        <v>2286</v>
      </c>
      <c r="J492" s="3" t="s">
        <v>2287</v>
      </c>
      <c r="K492" s="3" t="s">
        <v>82</v>
      </c>
      <c r="L492" s="3" t="s">
        <v>2288</v>
      </c>
      <c r="M492" s="3" t="s">
        <v>0</v>
      </c>
      <c r="N492" s="3" t="s">
        <v>0</v>
      </c>
      <c r="O492" s="3">
        <v>3</v>
      </c>
      <c r="P492" s="3">
        <v>46</v>
      </c>
      <c r="Q492" s="3" t="s">
        <v>352</v>
      </c>
      <c r="R492" s="3" t="s">
        <v>61</v>
      </c>
      <c r="S492" s="3">
        <v>5</v>
      </c>
      <c r="T492" s="3">
        <v>2</v>
      </c>
      <c r="U492" s="3">
        <v>3</v>
      </c>
      <c r="V492" s="3">
        <v>3</v>
      </c>
      <c r="W492" s="3">
        <v>0</v>
      </c>
      <c r="X492" s="3" t="s">
        <v>147</v>
      </c>
      <c r="Y492" s="3">
        <v>0</v>
      </c>
      <c r="Z492" s="3">
        <v>0</v>
      </c>
      <c r="AA492" s="3">
        <v>0</v>
      </c>
      <c r="AB492" s="3">
        <v>0</v>
      </c>
      <c r="AC492" s="3">
        <v>19</v>
      </c>
      <c r="AD492" s="3">
        <v>4</v>
      </c>
      <c r="AE492" s="3">
        <v>14</v>
      </c>
      <c r="AF492" s="3" t="s">
        <v>0</v>
      </c>
      <c r="AG492" s="3" t="s">
        <v>0</v>
      </c>
    </row>
    <row r="493" spans="1:33" ht="38.25" x14ac:dyDescent="0.2">
      <c r="A493" s="4" t="str">
        <f>HYPERLINK("http://www.patentics.cn/invokexml.do?sf=ShowPatent&amp;spn=WO2010015167&amp;sv=ad1c3c5d354e0791490f6e17a984d3ca","WO2010015167")</f>
        <v>WO2010015167</v>
      </c>
      <c r="B493" s="2" t="s">
        <v>2289</v>
      </c>
      <c r="C493" s="2" t="s">
        <v>2290</v>
      </c>
      <c r="D493" s="2" t="s">
        <v>2291</v>
      </c>
      <c r="E493" s="2" t="s">
        <v>2291</v>
      </c>
      <c r="F493" s="2" t="s">
        <v>2292</v>
      </c>
      <c r="G493" s="2" t="s">
        <v>2293</v>
      </c>
      <c r="H493" s="2" t="s">
        <v>2294</v>
      </c>
      <c r="I493" s="2" t="s">
        <v>2295</v>
      </c>
      <c r="J493" s="2" t="s">
        <v>2296</v>
      </c>
      <c r="K493" s="2" t="s">
        <v>82</v>
      </c>
      <c r="L493" s="2" t="s">
        <v>2297</v>
      </c>
      <c r="M493" s="2" t="s">
        <v>0</v>
      </c>
      <c r="N493" s="2" t="s">
        <v>0</v>
      </c>
      <c r="O493" s="2">
        <v>0</v>
      </c>
      <c r="P493" s="2">
        <v>0</v>
      </c>
      <c r="Q493" s="2" t="s">
        <v>352</v>
      </c>
      <c r="R493" s="2" t="s">
        <v>47</v>
      </c>
      <c r="S493" s="2">
        <v>3</v>
      </c>
      <c r="T493" s="2">
        <v>0</v>
      </c>
      <c r="U493" s="2">
        <v>3</v>
      </c>
      <c r="V493" s="2">
        <v>3</v>
      </c>
      <c r="W493" s="2">
        <v>18</v>
      </c>
      <c r="X493" s="2" t="s">
        <v>2102</v>
      </c>
      <c r="Y493" s="2">
        <v>1</v>
      </c>
      <c r="Z493" s="2">
        <v>17</v>
      </c>
      <c r="AA493" s="2">
        <v>2</v>
      </c>
      <c r="AB493" s="2">
        <v>5</v>
      </c>
      <c r="AC493" s="2">
        <v>12</v>
      </c>
      <c r="AD493" s="2">
        <v>7</v>
      </c>
      <c r="AE493" s="2" t="s">
        <v>0</v>
      </c>
      <c r="AF493" s="2">
        <v>5</v>
      </c>
      <c r="AG493" s="2" t="s">
        <v>0</v>
      </c>
    </row>
    <row r="494" spans="1:33" ht="114.75" x14ac:dyDescent="0.2">
      <c r="A494" s="5" t="str">
        <f>HYPERLINK("http://www.patentics.cn/invokexml.do?sf=ShowPatent&amp;spn=US8634364&amp;sv=f7260190c4a0db99d370f9dd491fe591","US8634364")</f>
        <v>US8634364</v>
      </c>
      <c r="B494" s="3" t="s">
        <v>2298</v>
      </c>
      <c r="C494" s="3" t="s">
        <v>2299</v>
      </c>
      <c r="D494" s="3" t="s">
        <v>52</v>
      </c>
      <c r="E494" s="3" t="s">
        <v>52</v>
      </c>
      <c r="F494" s="3" t="s">
        <v>2300</v>
      </c>
      <c r="G494" s="3" t="s">
        <v>944</v>
      </c>
      <c r="H494" s="3" t="s">
        <v>1942</v>
      </c>
      <c r="I494" s="3" t="s">
        <v>2301</v>
      </c>
      <c r="J494" s="3" t="s">
        <v>1028</v>
      </c>
      <c r="K494" s="3" t="s">
        <v>82</v>
      </c>
      <c r="L494" s="3" t="s">
        <v>83</v>
      </c>
      <c r="M494" s="3" t="s">
        <v>82</v>
      </c>
      <c r="N494" s="3" t="s">
        <v>2302</v>
      </c>
      <c r="O494" s="3">
        <v>0</v>
      </c>
      <c r="P494" s="3">
        <v>23</v>
      </c>
      <c r="Q494" s="3" t="s">
        <v>60</v>
      </c>
      <c r="R494" s="3" t="s">
        <v>61</v>
      </c>
      <c r="S494" s="3">
        <v>18</v>
      </c>
      <c r="T494" s="3">
        <v>6</v>
      </c>
      <c r="U494" s="3">
        <v>12</v>
      </c>
      <c r="V494" s="3">
        <v>9</v>
      </c>
      <c r="W494" s="3">
        <v>2</v>
      </c>
      <c r="X494" s="3" t="s">
        <v>2303</v>
      </c>
      <c r="Y494" s="3">
        <v>2</v>
      </c>
      <c r="Z494" s="3">
        <v>0</v>
      </c>
      <c r="AA494" s="3">
        <v>1</v>
      </c>
      <c r="AB494" s="3">
        <v>1</v>
      </c>
      <c r="AC494" s="3">
        <v>17</v>
      </c>
      <c r="AD494" s="3">
        <v>7</v>
      </c>
      <c r="AE494" s="3">
        <v>14</v>
      </c>
      <c r="AF494" s="3" t="s">
        <v>0</v>
      </c>
      <c r="AG494" s="3" t="s">
        <v>49</v>
      </c>
    </row>
    <row r="495" spans="1:33" ht="114.75" x14ac:dyDescent="0.2">
      <c r="A495" s="5" t="str">
        <f>HYPERLINK("http://www.patentics.cn/invokexml.do?sf=ShowPatent&amp;spn=US9288004&amp;sv=2bb9fca457aa3e8b432d741f8364472c","US9288004")</f>
        <v>US9288004</v>
      </c>
      <c r="B495" s="3" t="s">
        <v>2304</v>
      </c>
      <c r="C495" s="3" t="s">
        <v>2299</v>
      </c>
      <c r="D495" s="3" t="s">
        <v>52</v>
      </c>
      <c r="E495" s="3" t="s">
        <v>52</v>
      </c>
      <c r="F495" s="3" t="s">
        <v>2300</v>
      </c>
      <c r="G495" s="3" t="s">
        <v>944</v>
      </c>
      <c r="H495" s="3" t="s">
        <v>1942</v>
      </c>
      <c r="I495" s="3" t="s">
        <v>2305</v>
      </c>
      <c r="J495" s="3" t="s">
        <v>689</v>
      </c>
      <c r="K495" s="3" t="s">
        <v>82</v>
      </c>
      <c r="L495" s="3" t="s">
        <v>83</v>
      </c>
      <c r="M495" s="3" t="s">
        <v>70</v>
      </c>
      <c r="N495" s="3" t="s">
        <v>2306</v>
      </c>
      <c r="O495" s="3">
        <v>0</v>
      </c>
      <c r="P495" s="3">
        <v>15</v>
      </c>
      <c r="Q495" s="3" t="s">
        <v>60</v>
      </c>
      <c r="R495" s="3" t="s">
        <v>61</v>
      </c>
      <c r="S495" s="3">
        <v>41</v>
      </c>
      <c r="T495" s="3">
        <v>13</v>
      </c>
      <c r="U495" s="3">
        <v>28</v>
      </c>
      <c r="V495" s="3">
        <v>12</v>
      </c>
      <c r="W495" s="3">
        <v>0</v>
      </c>
      <c r="X495" s="3" t="s">
        <v>147</v>
      </c>
      <c r="Y495" s="3">
        <v>0</v>
      </c>
      <c r="Z495" s="3">
        <v>0</v>
      </c>
      <c r="AA495" s="3">
        <v>0</v>
      </c>
      <c r="AB495" s="3">
        <v>0</v>
      </c>
      <c r="AC495" s="3">
        <v>17</v>
      </c>
      <c r="AD495" s="3">
        <v>7</v>
      </c>
      <c r="AE495" s="3">
        <v>14</v>
      </c>
      <c r="AF495" s="3" t="s">
        <v>0</v>
      </c>
      <c r="AG495" s="3" t="s">
        <v>49</v>
      </c>
    </row>
    <row r="496" spans="1:33" ht="114.75" x14ac:dyDescent="0.2">
      <c r="A496" s="5" t="str">
        <f>HYPERLINK("http://www.patentics.cn/invokexml.do?sf=ShowPatent&amp;spn=WO2011133708&amp;sv=89f86c9eee0338faa9569cdb4b9d737e","WO2011133708")</f>
        <v>WO2011133708</v>
      </c>
      <c r="B496" s="3" t="s">
        <v>2307</v>
      </c>
      <c r="C496" s="3" t="s">
        <v>2299</v>
      </c>
      <c r="D496" s="3" t="s">
        <v>2308</v>
      </c>
      <c r="E496" s="3" t="s">
        <v>2309</v>
      </c>
      <c r="F496" s="3" t="s">
        <v>2310</v>
      </c>
      <c r="G496" s="3" t="s">
        <v>2311</v>
      </c>
      <c r="H496" s="3" t="s">
        <v>1942</v>
      </c>
      <c r="I496" s="3" t="s">
        <v>2312</v>
      </c>
      <c r="J496" s="3" t="s">
        <v>2313</v>
      </c>
      <c r="K496" s="3" t="s">
        <v>82</v>
      </c>
      <c r="L496" s="3" t="s">
        <v>244</v>
      </c>
      <c r="M496" s="3" t="s">
        <v>0</v>
      </c>
      <c r="N496" s="3" t="s">
        <v>0</v>
      </c>
      <c r="O496" s="3">
        <v>82</v>
      </c>
      <c r="P496" s="3">
        <v>22</v>
      </c>
      <c r="Q496" s="3" t="s">
        <v>352</v>
      </c>
      <c r="R496" s="3" t="s">
        <v>61</v>
      </c>
      <c r="S496" s="3">
        <v>4</v>
      </c>
      <c r="T496" s="3">
        <v>0</v>
      </c>
      <c r="U496" s="3">
        <v>4</v>
      </c>
      <c r="V496" s="3">
        <v>4</v>
      </c>
      <c r="W496" s="3">
        <v>4</v>
      </c>
      <c r="X496" s="3" t="s">
        <v>2314</v>
      </c>
      <c r="Y496" s="3">
        <v>0</v>
      </c>
      <c r="Z496" s="3">
        <v>4</v>
      </c>
      <c r="AA496" s="3">
        <v>2</v>
      </c>
      <c r="AB496" s="3">
        <v>2</v>
      </c>
      <c r="AC496" s="3">
        <v>17</v>
      </c>
      <c r="AD496" s="3">
        <v>7</v>
      </c>
      <c r="AE496" s="3">
        <v>14</v>
      </c>
      <c r="AF496" s="3" t="s">
        <v>0</v>
      </c>
      <c r="AG496" s="3" t="s">
        <v>0</v>
      </c>
    </row>
    <row r="497" spans="1:33" ht="63.75" x14ac:dyDescent="0.2">
      <c r="A497" s="5" t="str">
        <f>HYPERLINK("http://www.patentics.cn/invokexml.do?sf=ShowPatent&amp;spn=CN102860105B&amp;sv=01e6cad3abe5d16400ee423709b33728","CN102860105B")</f>
        <v>CN102860105B</v>
      </c>
      <c r="B497" s="3" t="s">
        <v>2315</v>
      </c>
      <c r="C497" s="3" t="s">
        <v>2316</v>
      </c>
      <c r="D497" s="3" t="s">
        <v>338</v>
      </c>
      <c r="E497" s="3" t="s">
        <v>338</v>
      </c>
      <c r="F497" s="3" t="s">
        <v>2317</v>
      </c>
      <c r="G497" s="3" t="s">
        <v>2318</v>
      </c>
      <c r="H497" s="3" t="s">
        <v>1942</v>
      </c>
      <c r="I497" s="3" t="s">
        <v>2312</v>
      </c>
      <c r="J497" s="3" t="s">
        <v>989</v>
      </c>
      <c r="K497" s="3" t="s">
        <v>82</v>
      </c>
      <c r="L497" s="3" t="s">
        <v>244</v>
      </c>
      <c r="M497" s="3" t="s">
        <v>0</v>
      </c>
      <c r="N497" s="3" t="s">
        <v>0</v>
      </c>
      <c r="O497" s="3">
        <v>56</v>
      </c>
      <c r="P497" s="3">
        <v>22</v>
      </c>
      <c r="Q497" s="3" t="s">
        <v>60</v>
      </c>
      <c r="R497" s="3" t="s">
        <v>61</v>
      </c>
      <c r="S497" s="3">
        <v>3</v>
      </c>
      <c r="T497" s="3">
        <v>0</v>
      </c>
      <c r="U497" s="3">
        <v>3</v>
      </c>
      <c r="V497" s="3">
        <v>3</v>
      </c>
      <c r="W497" s="3">
        <v>0</v>
      </c>
      <c r="X497" s="3" t="s">
        <v>147</v>
      </c>
      <c r="Y497" s="3">
        <v>0</v>
      </c>
      <c r="Z497" s="3">
        <v>0</v>
      </c>
      <c r="AA497" s="3">
        <v>0</v>
      </c>
      <c r="AB497" s="3">
        <v>0</v>
      </c>
      <c r="AC497" s="3">
        <v>17</v>
      </c>
      <c r="AD497" s="3">
        <v>7</v>
      </c>
      <c r="AE497" s="3">
        <v>14</v>
      </c>
      <c r="AF497" s="3" t="s">
        <v>0</v>
      </c>
      <c r="AG497" s="3" t="s">
        <v>49</v>
      </c>
    </row>
    <row r="498" spans="1:33" ht="140.25" x14ac:dyDescent="0.2">
      <c r="A498" s="5" t="str">
        <f>HYPERLINK("http://www.patentics.cn/invokexml.do?sf=ShowPatent&amp;spn=EP2561713B1&amp;sv=8d5ee42a99e40de574779e177efd9bbd","EP2561713B1")</f>
        <v>EP2561713B1</v>
      </c>
      <c r="B498" s="3" t="s">
        <v>2319</v>
      </c>
      <c r="C498" s="3" t="s">
        <v>2299</v>
      </c>
      <c r="D498" s="3" t="s">
        <v>52</v>
      </c>
      <c r="E498" s="3" t="s">
        <v>52</v>
      </c>
      <c r="F498" s="3" t="s">
        <v>2320</v>
      </c>
      <c r="G498" s="3" t="s">
        <v>2321</v>
      </c>
      <c r="H498" s="3" t="s">
        <v>1942</v>
      </c>
      <c r="I498" s="3" t="s">
        <v>2312</v>
      </c>
      <c r="J498" s="3" t="s">
        <v>2322</v>
      </c>
      <c r="K498" s="3" t="s">
        <v>82</v>
      </c>
      <c r="L498" s="3" t="s">
        <v>244</v>
      </c>
      <c r="M498" s="3" t="s">
        <v>0</v>
      </c>
      <c r="N498" s="3" t="s">
        <v>0</v>
      </c>
      <c r="O498" s="3">
        <v>15</v>
      </c>
      <c r="P498" s="3">
        <v>25</v>
      </c>
      <c r="Q498" s="3" t="s">
        <v>60</v>
      </c>
      <c r="R498" s="3" t="s">
        <v>61</v>
      </c>
      <c r="S498" s="3">
        <v>2</v>
      </c>
      <c r="T498" s="3">
        <v>0</v>
      </c>
      <c r="U498" s="3">
        <v>2</v>
      </c>
      <c r="V498" s="3">
        <v>2</v>
      </c>
      <c r="W498" s="3">
        <v>0</v>
      </c>
      <c r="X498" s="3" t="s">
        <v>147</v>
      </c>
      <c r="Y498" s="3">
        <v>0</v>
      </c>
      <c r="Z498" s="3">
        <v>0</v>
      </c>
      <c r="AA498" s="3">
        <v>0</v>
      </c>
      <c r="AB498" s="3">
        <v>0</v>
      </c>
      <c r="AC498" s="3">
        <v>17</v>
      </c>
      <c r="AD498" s="3">
        <v>7</v>
      </c>
      <c r="AE498" s="3">
        <v>14</v>
      </c>
      <c r="AF498" s="3" t="s">
        <v>0</v>
      </c>
      <c r="AG498" s="3" t="s">
        <v>0</v>
      </c>
    </row>
    <row r="499" spans="1:33" ht="25.5" x14ac:dyDescent="0.2">
      <c r="A499" s="4" t="str">
        <f>HYPERLINK("http://www.patentics.cn/invokexml.do?sf=ShowPatent&amp;spn=WO2008036784&amp;sv=023eceae2fe615a56668e1b1e32a58ff","WO2008036784")</f>
        <v>WO2008036784</v>
      </c>
      <c r="B499" s="2" t="s">
        <v>2323</v>
      </c>
      <c r="C499" s="2" t="s">
        <v>2324</v>
      </c>
      <c r="D499" s="2" t="s">
        <v>2325</v>
      </c>
      <c r="E499" s="2" t="s">
        <v>2326</v>
      </c>
      <c r="F499" s="2" t="s">
        <v>882</v>
      </c>
      <c r="G499" s="2" t="s">
        <v>882</v>
      </c>
      <c r="H499" s="2" t="s">
        <v>2327</v>
      </c>
      <c r="I499" s="2" t="s">
        <v>2328</v>
      </c>
      <c r="J499" s="2" t="s">
        <v>2329</v>
      </c>
      <c r="K499" s="2" t="s">
        <v>84</v>
      </c>
      <c r="L499" s="2" t="s">
        <v>2330</v>
      </c>
      <c r="M499" s="2" t="s">
        <v>0</v>
      </c>
      <c r="N499" s="2" t="s">
        <v>0</v>
      </c>
      <c r="O499" s="2">
        <v>17</v>
      </c>
      <c r="P499" s="2">
        <v>11</v>
      </c>
      <c r="Q499" s="2" t="s">
        <v>352</v>
      </c>
      <c r="R499" s="2" t="s">
        <v>61</v>
      </c>
      <c r="S499" s="2">
        <v>4</v>
      </c>
      <c r="T499" s="2">
        <v>0</v>
      </c>
      <c r="U499" s="2">
        <v>4</v>
      </c>
      <c r="V499" s="2">
        <v>4</v>
      </c>
      <c r="W499" s="2">
        <v>13</v>
      </c>
      <c r="X499" s="2" t="s">
        <v>2191</v>
      </c>
      <c r="Y499" s="2">
        <v>2</v>
      </c>
      <c r="Z499" s="2">
        <v>11</v>
      </c>
      <c r="AA499" s="2">
        <v>4</v>
      </c>
      <c r="AB499" s="2">
        <v>4</v>
      </c>
      <c r="AC499" s="2">
        <v>13</v>
      </c>
      <c r="AD499" s="2">
        <v>6</v>
      </c>
      <c r="AE499" s="2" t="s">
        <v>0</v>
      </c>
      <c r="AF499" s="2">
        <v>5</v>
      </c>
      <c r="AG499" s="2" t="s">
        <v>0</v>
      </c>
    </row>
    <row r="500" spans="1:33" ht="140.25" x14ac:dyDescent="0.2">
      <c r="A500" s="5" t="str">
        <f>HYPERLINK("http://www.patentics.cn/invokexml.do?sf=ShowPatent&amp;spn=US9078270&amp;sv=e9da23a292adb673189b1e5a5d3b9f06","US9078270")</f>
        <v>US9078270</v>
      </c>
      <c r="B500" s="3" t="s">
        <v>2331</v>
      </c>
      <c r="C500" s="3" t="s">
        <v>2332</v>
      </c>
      <c r="D500" s="3" t="s">
        <v>52</v>
      </c>
      <c r="E500" s="3" t="s">
        <v>52</v>
      </c>
      <c r="F500" s="3" t="s">
        <v>2333</v>
      </c>
      <c r="G500" s="3" t="s">
        <v>78</v>
      </c>
      <c r="H500" s="3" t="s">
        <v>2334</v>
      </c>
      <c r="I500" s="3" t="s">
        <v>2335</v>
      </c>
      <c r="J500" s="3" t="s">
        <v>1611</v>
      </c>
      <c r="K500" s="3" t="s">
        <v>270</v>
      </c>
      <c r="L500" s="3" t="s">
        <v>2336</v>
      </c>
      <c r="M500" s="3" t="s">
        <v>0</v>
      </c>
      <c r="N500" s="3" t="s">
        <v>0</v>
      </c>
      <c r="O500" s="3">
        <v>0</v>
      </c>
      <c r="P500" s="3">
        <v>11</v>
      </c>
      <c r="Q500" s="3" t="s">
        <v>60</v>
      </c>
      <c r="R500" s="3" t="s">
        <v>61</v>
      </c>
      <c r="S500" s="3">
        <v>36</v>
      </c>
      <c r="T500" s="3">
        <v>1</v>
      </c>
      <c r="U500" s="3">
        <v>35</v>
      </c>
      <c r="V500" s="3">
        <v>25</v>
      </c>
      <c r="W500" s="3">
        <v>0</v>
      </c>
      <c r="X500" s="3" t="s">
        <v>147</v>
      </c>
      <c r="Y500" s="3">
        <v>0</v>
      </c>
      <c r="Z500" s="3">
        <v>0</v>
      </c>
      <c r="AA500" s="3">
        <v>0</v>
      </c>
      <c r="AB500" s="3">
        <v>0</v>
      </c>
      <c r="AC500" s="3">
        <v>13</v>
      </c>
      <c r="AD500" s="3">
        <v>7</v>
      </c>
      <c r="AE500" s="3">
        <v>14</v>
      </c>
      <c r="AF500" s="3" t="s">
        <v>0</v>
      </c>
      <c r="AG500" s="3" t="s">
        <v>49</v>
      </c>
    </row>
    <row r="501" spans="1:33" ht="153" x14ac:dyDescent="0.2">
      <c r="A501" s="5" t="str">
        <f>HYPERLINK("http://www.patentics.cn/invokexml.do?sf=ShowPatent&amp;spn=US9203564&amp;sv=1e547b7414af13eebccf8c936a08b437","US9203564")</f>
        <v>US9203564</v>
      </c>
      <c r="B501" s="3" t="s">
        <v>2337</v>
      </c>
      <c r="C501" s="3" t="s">
        <v>2338</v>
      </c>
      <c r="D501" s="3" t="s">
        <v>52</v>
      </c>
      <c r="E501" s="3" t="s">
        <v>52</v>
      </c>
      <c r="F501" s="3" t="s">
        <v>2339</v>
      </c>
      <c r="G501" s="3" t="s">
        <v>193</v>
      </c>
      <c r="H501" s="3" t="s">
        <v>2340</v>
      </c>
      <c r="I501" s="3" t="s">
        <v>2341</v>
      </c>
      <c r="J501" s="3" t="s">
        <v>1362</v>
      </c>
      <c r="K501" s="3" t="s">
        <v>58</v>
      </c>
      <c r="L501" s="3" t="s">
        <v>1980</v>
      </c>
      <c r="M501" s="3" t="s">
        <v>58</v>
      </c>
      <c r="N501" s="3" t="s">
        <v>2342</v>
      </c>
      <c r="O501" s="3">
        <v>0</v>
      </c>
      <c r="P501" s="3">
        <v>17</v>
      </c>
      <c r="Q501" s="3" t="s">
        <v>60</v>
      </c>
      <c r="R501" s="3" t="s">
        <v>61</v>
      </c>
      <c r="S501" s="3">
        <v>116</v>
      </c>
      <c r="T501" s="3">
        <v>10</v>
      </c>
      <c r="U501" s="3">
        <v>106</v>
      </c>
      <c r="V501" s="3">
        <v>36</v>
      </c>
      <c r="W501" s="3">
        <v>0</v>
      </c>
      <c r="X501" s="3" t="s">
        <v>147</v>
      </c>
      <c r="Y501" s="3">
        <v>0</v>
      </c>
      <c r="Z501" s="3">
        <v>0</v>
      </c>
      <c r="AA501" s="3">
        <v>0</v>
      </c>
      <c r="AB501" s="3">
        <v>0</v>
      </c>
      <c r="AC501" s="3">
        <v>2</v>
      </c>
      <c r="AD501" s="3">
        <v>2</v>
      </c>
      <c r="AE501" s="3">
        <v>14</v>
      </c>
      <c r="AF501" s="3" t="s">
        <v>0</v>
      </c>
      <c r="AG501" s="3" t="s">
        <v>49</v>
      </c>
    </row>
    <row r="502" spans="1:33" ht="153" x14ac:dyDescent="0.2">
      <c r="A502" s="5" t="str">
        <f>HYPERLINK("http://www.patentics.cn/invokexml.do?sf=ShowPatent&amp;spn=US9294219&amp;sv=61fa354180e7bcf654b818c26f341831","US9294219")</f>
        <v>US9294219</v>
      </c>
      <c r="B502" s="3" t="s">
        <v>2343</v>
      </c>
      <c r="C502" s="3" t="s">
        <v>2344</v>
      </c>
      <c r="D502" s="3" t="s">
        <v>52</v>
      </c>
      <c r="E502" s="3" t="s">
        <v>52</v>
      </c>
      <c r="F502" s="3" t="s">
        <v>2339</v>
      </c>
      <c r="G502" s="3" t="s">
        <v>193</v>
      </c>
      <c r="H502" s="3" t="s">
        <v>2345</v>
      </c>
      <c r="I502" s="3" t="s">
        <v>2346</v>
      </c>
      <c r="J502" s="3" t="s">
        <v>696</v>
      </c>
      <c r="K502" s="3" t="s">
        <v>58</v>
      </c>
      <c r="L502" s="3" t="s">
        <v>613</v>
      </c>
      <c r="M502" s="3" t="s">
        <v>58</v>
      </c>
      <c r="N502" s="3" t="s">
        <v>2347</v>
      </c>
      <c r="O502" s="3">
        <v>0</v>
      </c>
      <c r="P502" s="3">
        <v>20</v>
      </c>
      <c r="Q502" s="3" t="s">
        <v>60</v>
      </c>
      <c r="R502" s="3" t="s">
        <v>61</v>
      </c>
      <c r="S502" s="3">
        <v>139</v>
      </c>
      <c r="T502" s="3">
        <v>15</v>
      </c>
      <c r="U502" s="3">
        <v>124</v>
      </c>
      <c r="V502" s="3">
        <v>40</v>
      </c>
      <c r="W502" s="3">
        <v>0</v>
      </c>
      <c r="X502" s="3" t="s">
        <v>147</v>
      </c>
      <c r="Y502" s="3">
        <v>0</v>
      </c>
      <c r="Z502" s="3">
        <v>0</v>
      </c>
      <c r="AA502" s="3">
        <v>0</v>
      </c>
      <c r="AB502" s="3">
        <v>0</v>
      </c>
      <c r="AC502" s="3">
        <v>34</v>
      </c>
      <c r="AD502" s="3">
        <v>9</v>
      </c>
      <c r="AE502" s="3">
        <v>14</v>
      </c>
      <c r="AF502" s="3" t="s">
        <v>0</v>
      </c>
      <c r="AG502" s="3" t="s">
        <v>49</v>
      </c>
    </row>
    <row r="503" spans="1:33" ht="102" x14ac:dyDescent="0.2">
      <c r="A503" s="5" t="str">
        <f>HYPERLINK("http://www.patentics.cn/invokexml.do?sf=ShowPatent&amp;spn=WO2010003098&amp;sv=9d0bbfa7e58cd5534e3168037c165d5e","WO2010003098")</f>
        <v>WO2010003098</v>
      </c>
      <c r="B503" s="3" t="s">
        <v>2348</v>
      </c>
      <c r="C503" s="3" t="s">
        <v>2332</v>
      </c>
      <c r="D503" s="3" t="s">
        <v>2349</v>
      </c>
      <c r="E503" s="3" t="s">
        <v>2350</v>
      </c>
      <c r="F503" s="3" t="s">
        <v>2351</v>
      </c>
      <c r="G503" s="3" t="s">
        <v>2352</v>
      </c>
      <c r="H503" s="3" t="s">
        <v>2334</v>
      </c>
      <c r="I503" s="3" t="s">
        <v>2353</v>
      </c>
      <c r="J503" s="3" t="s">
        <v>2354</v>
      </c>
      <c r="K503" s="3" t="s">
        <v>82</v>
      </c>
      <c r="L503" s="3" t="s">
        <v>2355</v>
      </c>
      <c r="M503" s="3" t="s">
        <v>0</v>
      </c>
      <c r="N503" s="3" t="s">
        <v>0</v>
      </c>
      <c r="O503" s="3">
        <v>61</v>
      </c>
      <c r="P503" s="3">
        <v>6</v>
      </c>
      <c r="Q503" s="3" t="s">
        <v>352</v>
      </c>
      <c r="R503" s="3" t="s">
        <v>61</v>
      </c>
      <c r="S503" s="3">
        <v>17</v>
      </c>
      <c r="T503" s="3">
        <v>0</v>
      </c>
      <c r="U503" s="3">
        <v>17</v>
      </c>
      <c r="V503" s="3">
        <v>14</v>
      </c>
      <c r="W503" s="3">
        <v>4</v>
      </c>
      <c r="X503" s="3" t="s">
        <v>2356</v>
      </c>
      <c r="Y503" s="3">
        <v>0</v>
      </c>
      <c r="Z503" s="3">
        <v>4</v>
      </c>
      <c r="AA503" s="3">
        <v>4</v>
      </c>
      <c r="AB503" s="3">
        <v>3</v>
      </c>
      <c r="AC503" s="3">
        <v>13</v>
      </c>
      <c r="AD503" s="3">
        <v>7</v>
      </c>
      <c r="AE503" s="3">
        <v>14</v>
      </c>
      <c r="AF503" s="3" t="s">
        <v>0</v>
      </c>
      <c r="AG503" s="3" t="s">
        <v>0</v>
      </c>
    </row>
    <row r="504" spans="1:33" ht="127.5" x14ac:dyDescent="0.2">
      <c r="A504" s="5" t="str">
        <f>HYPERLINK("http://www.patentics.cn/invokexml.do?sf=ShowPatent&amp;spn=WO2010003098A3&amp;sv=fb0b42269308573ab228efd5b245a575","WO2010003098A3")</f>
        <v>WO2010003098A3</v>
      </c>
      <c r="B504" s="3" t="s">
        <v>2357</v>
      </c>
      <c r="C504" s="3" t="s">
        <v>2358</v>
      </c>
      <c r="D504" s="3" t="s">
        <v>2359</v>
      </c>
      <c r="E504" s="3" t="s">
        <v>2359</v>
      </c>
      <c r="F504" s="3" t="s">
        <v>2360</v>
      </c>
      <c r="G504" s="3" t="s">
        <v>2361</v>
      </c>
      <c r="H504" s="3" t="s">
        <v>2334</v>
      </c>
      <c r="I504" s="3" t="s">
        <v>2334</v>
      </c>
      <c r="J504" s="3" t="s">
        <v>2246</v>
      </c>
      <c r="K504" s="3" t="s">
        <v>82</v>
      </c>
      <c r="L504" s="3" t="s">
        <v>2355</v>
      </c>
      <c r="M504" s="3" t="s">
        <v>82</v>
      </c>
      <c r="N504" s="3" t="s">
        <v>82</v>
      </c>
      <c r="O504" s="3">
        <v>0</v>
      </c>
      <c r="P504" s="3">
        <v>0</v>
      </c>
      <c r="Q504" s="3" t="s">
        <v>352</v>
      </c>
      <c r="R504" s="3" t="s">
        <v>1387</v>
      </c>
      <c r="S504" s="3">
        <v>17</v>
      </c>
      <c r="T504" s="3">
        <v>0</v>
      </c>
      <c r="U504" s="3">
        <v>17</v>
      </c>
      <c r="V504" s="3">
        <v>14</v>
      </c>
      <c r="W504" s="3">
        <v>0</v>
      </c>
      <c r="X504" s="3" t="s">
        <v>147</v>
      </c>
      <c r="Y504" s="3">
        <v>0</v>
      </c>
      <c r="Z504" s="3">
        <v>0</v>
      </c>
      <c r="AA504" s="3">
        <v>0</v>
      </c>
      <c r="AB504" s="3">
        <v>0</v>
      </c>
      <c r="AC504" s="3">
        <v>0</v>
      </c>
      <c r="AD504" s="3">
        <v>0</v>
      </c>
      <c r="AE504" s="3">
        <v>14</v>
      </c>
      <c r="AF504" s="3" t="s">
        <v>0</v>
      </c>
      <c r="AG504" s="3" t="s">
        <v>0</v>
      </c>
    </row>
    <row r="505" spans="1:33" ht="25.5" x14ac:dyDescent="0.2">
      <c r="A505" s="4" t="str">
        <f>HYPERLINK("http://www.patentics.cn/invokexml.do?sf=ShowPatent&amp;spn=EP2525605&amp;sv=9f4afa4234bb6d4f4d05feff838622dc","EP2525605")</f>
        <v>EP2525605</v>
      </c>
      <c r="B505" s="2" t="s">
        <v>2362</v>
      </c>
      <c r="C505" s="2" t="s">
        <v>2363</v>
      </c>
      <c r="D505" s="2" t="s">
        <v>346</v>
      </c>
      <c r="E505" s="2" t="s">
        <v>346</v>
      </c>
      <c r="F505" s="2" t="s">
        <v>2364</v>
      </c>
      <c r="G505" s="2" t="s">
        <v>2364</v>
      </c>
      <c r="H505" s="2" t="s">
        <v>603</v>
      </c>
      <c r="I505" s="2" t="s">
        <v>2365</v>
      </c>
      <c r="J505" s="2" t="s">
        <v>2366</v>
      </c>
      <c r="K505" s="2" t="s">
        <v>82</v>
      </c>
      <c r="L505" s="2" t="s">
        <v>1560</v>
      </c>
      <c r="M505" s="2" t="s">
        <v>82</v>
      </c>
      <c r="N505" s="2" t="s">
        <v>1678</v>
      </c>
      <c r="O505" s="2">
        <v>12</v>
      </c>
      <c r="P505" s="2">
        <v>10</v>
      </c>
      <c r="Q505" s="2" t="s">
        <v>352</v>
      </c>
      <c r="R505" s="2" t="s">
        <v>47</v>
      </c>
      <c r="S505" s="2">
        <v>0</v>
      </c>
      <c r="T505" s="2">
        <v>0</v>
      </c>
      <c r="U505" s="2">
        <v>0</v>
      </c>
      <c r="V505" s="2">
        <v>0</v>
      </c>
      <c r="W505" s="2">
        <v>5</v>
      </c>
      <c r="X505" s="2" t="s">
        <v>2367</v>
      </c>
      <c r="Y505" s="2">
        <v>0</v>
      </c>
      <c r="Z505" s="2">
        <v>5</v>
      </c>
      <c r="AA505" s="2">
        <v>1</v>
      </c>
      <c r="AB505" s="2">
        <v>2</v>
      </c>
      <c r="AC505" s="2">
        <v>5</v>
      </c>
      <c r="AD505" s="2">
        <v>4</v>
      </c>
      <c r="AE505" s="2" t="s">
        <v>0</v>
      </c>
      <c r="AF505" s="2">
        <v>5</v>
      </c>
      <c r="AG505" s="2" t="s">
        <v>0</v>
      </c>
    </row>
    <row r="506" spans="1:33" ht="153" x14ac:dyDescent="0.2">
      <c r="A506" s="5" t="str">
        <f>HYPERLINK("http://www.patentics.cn/invokexml.do?sf=ShowPatent&amp;spn=US9351304&amp;sv=733398e03133dcc8ce36a4f086757580","US9351304")</f>
        <v>US9351304</v>
      </c>
      <c r="B506" s="3" t="s">
        <v>2271</v>
      </c>
      <c r="C506" s="3" t="s">
        <v>2272</v>
      </c>
      <c r="D506" s="3" t="s">
        <v>52</v>
      </c>
      <c r="E506" s="3" t="s">
        <v>52</v>
      </c>
      <c r="F506" s="3" t="s">
        <v>2273</v>
      </c>
      <c r="G506" s="3" t="s">
        <v>2274</v>
      </c>
      <c r="H506" s="3" t="s">
        <v>0</v>
      </c>
      <c r="I506" s="3" t="s">
        <v>2275</v>
      </c>
      <c r="J506" s="3" t="s">
        <v>1184</v>
      </c>
      <c r="K506" s="3" t="s">
        <v>82</v>
      </c>
      <c r="L506" s="3" t="s">
        <v>862</v>
      </c>
      <c r="M506" s="3" t="s">
        <v>82</v>
      </c>
      <c r="N506" s="3" t="s">
        <v>2168</v>
      </c>
      <c r="O506" s="3">
        <v>0</v>
      </c>
      <c r="P506" s="3">
        <v>12</v>
      </c>
      <c r="Q506" s="3" t="s">
        <v>60</v>
      </c>
      <c r="R506" s="3" t="s">
        <v>61</v>
      </c>
      <c r="S506" s="3">
        <v>92</v>
      </c>
      <c r="T506" s="3">
        <v>10</v>
      </c>
      <c r="U506" s="3">
        <v>82</v>
      </c>
      <c r="V506" s="3">
        <v>40</v>
      </c>
      <c r="W506" s="3">
        <v>0</v>
      </c>
      <c r="X506" s="3" t="s">
        <v>147</v>
      </c>
      <c r="Y506" s="3">
        <v>0</v>
      </c>
      <c r="Z506" s="3">
        <v>0</v>
      </c>
      <c r="AA506" s="3">
        <v>0</v>
      </c>
      <c r="AB506" s="3">
        <v>0</v>
      </c>
      <c r="AC506" s="3">
        <v>0</v>
      </c>
      <c r="AD506" s="3">
        <v>0</v>
      </c>
      <c r="AE506" s="3">
        <v>14</v>
      </c>
      <c r="AF506" s="3" t="s">
        <v>0</v>
      </c>
      <c r="AG506" s="3" t="s">
        <v>49</v>
      </c>
    </row>
    <row r="507" spans="1:33" ht="153" x14ac:dyDescent="0.2">
      <c r="A507" s="5" t="str">
        <f>HYPERLINK("http://www.patentics.cn/invokexml.do?sf=ShowPatent&amp;spn=US9414389&amp;sv=f0bc4c0045239ce7311087c8a1c97374","US9414389")</f>
        <v>US9414389</v>
      </c>
      <c r="B507" s="3" t="s">
        <v>2271</v>
      </c>
      <c r="C507" s="3" t="s">
        <v>2272</v>
      </c>
      <c r="D507" s="3" t="s">
        <v>52</v>
      </c>
      <c r="E507" s="3" t="s">
        <v>52</v>
      </c>
      <c r="F507" s="3" t="s">
        <v>2273</v>
      </c>
      <c r="G507" s="3" t="s">
        <v>2274</v>
      </c>
      <c r="H507" s="3" t="s">
        <v>0</v>
      </c>
      <c r="I507" s="3" t="s">
        <v>2275</v>
      </c>
      <c r="J507" s="3" t="s">
        <v>2276</v>
      </c>
      <c r="K507" s="3" t="s">
        <v>82</v>
      </c>
      <c r="L507" s="3" t="s">
        <v>862</v>
      </c>
      <c r="M507" s="3" t="s">
        <v>82</v>
      </c>
      <c r="N507" s="3" t="s">
        <v>2168</v>
      </c>
      <c r="O507" s="3">
        <v>0</v>
      </c>
      <c r="P507" s="3">
        <v>12</v>
      </c>
      <c r="Q507" s="3" t="s">
        <v>60</v>
      </c>
      <c r="R507" s="3" t="s">
        <v>61</v>
      </c>
      <c r="S507" s="3">
        <v>101</v>
      </c>
      <c r="T507" s="3">
        <v>10</v>
      </c>
      <c r="U507" s="3">
        <v>91</v>
      </c>
      <c r="V507" s="3">
        <v>43</v>
      </c>
      <c r="W507" s="3">
        <v>0</v>
      </c>
      <c r="X507" s="3" t="s">
        <v>147</v>
      </c>
      <c r="Y507" s="3">
        <v>0</v>
      </c>
      <c r="Z507" s="3">
        <v>0</v>
      </c>
      <c r="AA507" s="3">
        <v>0</v>
      </c>
      <c r="AB507" s="3">
        <v>0</v>
      </c>
      <c r="AC507" s="3">
        <v>0</v>
      </c>
      <c r="AD507" s="3">
        <v>0</v>
      </c>
      <c r="AE507" s="3">
        <v>14</v>
      </c>
      <c r="AF507" s="3" t="s">
        <v>0</v>
      </c>
      <c r="AG507" s="3" t="s">
        <v>49</v>
      </c>
    </row>
    <row r="508" spans="1:33" ht="114.75" x14ac:dyDescent="0.2">
      <c r="A508" s="5" t="str">
        <f>HYPERLINK("http://www.patentics.cn/invokexml.do?sf=ShowPatent&amp;spn=US9474000&amp;sv=914914f5b329e2ffe7790978660092da","US9474000")</f>
        <v>US9474000</v>
      </c>
      <c r="B508" s="3" t="s">
        <v>2277</v>
      </c>
      <c r="C508" s="3" t="s">
        <v>2278</v>
      </c>
      <c r="D508" s="3" t="s">
        <v>52</v>
      </c>
      <c r="E508" s="3" t="s">
        <v>52</v>
      </c>
      <c r="F508" s="3" t="s">
        <v>2279</v>
      </c>
      <c r="G508" s="3" t="s">
        <v>2274</v>
      </c>
      <c r="H508" s="3" t="s">
        <v>2280</v>
      </c>
      <c r="I508" s="3" t="s">
        <v>2281</v>
      </c>
      <c r="J508" s="3" t="s">
        <v>528</v>
      </c>
      <c r="K508" s="3" t="s">
        <v>82</v>
      </c>
      <c r="L508" s="3" t="s">
        <v>83</v>
      </c>
      <c r="M508" s="3" t="s">
        <v>82</v>
      </c>
      <c r="N508" s="3" t="s">
        <v>1678</v>
      </c>
      <c r="O508" s="3">
        <v>0</v>
      </c>
      <c r="P508" s="3">
        <v>22</v>
      </c>
      <c r="Q508" s="3" t="s">
        <v>60</v>
      </c>
      <c r="R508" s="3" t="s">
        <v>61</v>
      </c>
      <c r="S508" s="3">
        <v>107</v>
      </c>
      <c r="T508" s="3">
        <v>10</v>
      </c>
      <c r="U508" s="3">
        <v>97</v>
      </c>
      <c r="V508" s="3">
        <v>46</v>
      </c>
      <c r="W508" s="3">
        <v>0</v>
      </c>
      <c r="X508" s="3" t="s">
        <v>147</v>
      </c>
      <c r="Y508" s="3">
        <v>0</v>
      </c>
      <c r="Z508" s="3">
        <v>0</v>
      </c>
      <c r="AA508" s="3">
        <v>0</v>
      </c>
      <c r="AB508" s="3">
        <v>0</v>
      </c>
      <c r="AC508" s="3">
        <v>19</v>
      </c>
      <c r="AD508" s="3">
        <v>4</v>
      </c>
      <c r="AE508" s="3">
        <v>14</v>
      </c>
      <c r="AF508" s="3" t="s">
        <v>0</v>
      </c>
      <c r="AG508" s="3" t="s">
        <v>49</v>
      </c>
    </row>
    <row r="509" spans="1:33" ht="153" x14ac:dyDescent="0.2">
      <c r="A509" s="5" t="str">
        <f>HYPERLINK("http://www.patentics.cn/invokexml.do?sf=ShowPatent&amp;spn=US9485771&amp;sv=9ef5790a677d2aa5bf16530d5f966c93","US9485771")</f>
        <v>US9485771</v>
      </c>
      <c r="B509" s="3" t="s">
        <v>2271</v>
      </c>
      <c r="C509" s="3" t="s">
        <v>2272</v>
      </c>
      <c r="D509" s="3" t="s">
        <v>52</v>
      </c>
      <c r="E509" s="3" t="s">
        <v>52</v>
      </c>
      <c r="F509" s="3" t="s">
        <v>2273</v>
      </c>
      <c r="G509" s="3" t="s">
        <v>2274</v>
      </c>
      <c r="H509" s="3" t="s">
        <v>2280</v>
      </c>
      <c r="I509" s="3" t="s">
        <v>2275</v>
      </c>
      <c r="J509" s="3" t="s">
        <v>727</v>
      </c>
      <c r="K509" s="3" t="s">
        <v>82</v>
      </c>
      <c r="L509" s="3" t="s">
        <v>862</v>
      </c>
      <c r="M509" s="3" t="s">
        <v>82</v>
      </c>
      <c r="N509" s="3" t="s">
        <v>2168</v>
      </c>
      <c r="O509" s="3">
        <v>0</v>
      </c>
      <c r="P509" s="3">
        <v>12</v>
      </c>
      <c r="Q509" s="3" t="s">
        <v>60</v>
      </c>
      <c r="R509" s="3" t="s">
        <v>61</v>
      </c>
      <c r="S509" s="3">
        <v>104</v>
      </c>
      <c r="T509" s="3">
        <v>10</v>
      </c>
      <c r="U509" s="3">
        <v>94</v>
      </c>
      <c r="V509" s="3">
        <v>44</v>
      </c>
      <c r="W509" s="3">
        <v>0</v>
      </c>
      <c r="X509" s="3" t="s">
        <v>147</v>
      </c>
      <c r="Y509" s="3">
        <v>0</v>
      </c>
      <c r="Z509" s="3">
        <v>0</v>
      </c>
      <c r="AA509" s="3">
        <v>0</v>
      </c>
      <c r="AB509" s="3">
        <v>0</v>
      </c>
      <c r="AC509" s="3">
        <v>19</v>
      </c>
      <c r="AD509" s="3">
        <v>4</v>
      </c>
      <c r="AE509" s="3">
        <v>14</v>
      </c>
      <c r="AF509" s="3" t="s">
        <v>0</v>
      </c>
      <c r="AG509" s="3" t="s">
        <v>49</v>
      </c>
    </row>
    <row r="510" spans="1:33" ht="89.25" x14ac:dyDescent="0.2">
      <c r="A510" s="5" t="str">
        <f>HYPERLINK("http://www.patentics.cn/invokexml.do?sf=ShowPatent&amp;spn=WO2015017160&amp;sv=3f50061473469b46d30e89e1a9b60544","WO2015017160")</f>
        <v>WO2015017160</v>
      </c>
      <c r="B510" s="3" t="s">
        <v>2368</v>
      </c>
      <c r="C510" s="3" t="s">
        <v>2369</v>
      </c>
      <c r="D510" s="3" t="s">
        <v>52</v>
      </c>
      <c r="E510" s="3" t="s">
        <v>52</v>
      </c>
      <c r="F510" s="3" t="s">
        <v>2370</v>
      </c>
      <c r="G510" s="3" t="s">
        <v>2285</v>
      </c>
      <c r="H510" s="3" t="s">
        <v>2280</v>
      </c>
      <c r="I510" s="3" t="s">
        <v>2286</v>
      </c>
      <c r="J510" s="3" t="s">
        <v>2287</v>
      </c>
      <c r="K510" s="3" t="s">
        <v>82</v>
      </c>
      <c r="L510" s="3" t="s">
        <v>2371</v>
      </c>
      <c r="M510" s="3" t="s">
        <v>0</v>
      </c>
      <c r="N510" s="3" t="s">
        <v>0</v>
      </c>
      <c r="O510" s="3">
        <v>2</v>
      </c>
      <c r="P510" s="3">
        <v>30</v>
      </c>
      <c r="Q510" s="3" t="s">
        <v>352</v>
      </c>
      <c r="R510" s="3" t="s">
        <v>61</v>
      </c>
      <c r="S510" s="3">
        <v>2</v>
      </c>
      <c r="T510" s="3">
        <v>0</v>
      </c>
      <c r="U510" s="3">
        <v>2</v>
      </c>
      <c r="V510" s="3">
        <v>2</v>
      </c>
      <c r="W510" s="3">
        <v>0</v>
      </c>
      <c r="X510" s="3" t="s">
        <v>147</v>
      </c>
      <c r="Y510" s="3">
        <v>0</v>
      </c>
      <c r="Z510" s="3">
        <v>0</v>
      </c>
      <c r="AA510" s="3">
        <v>0</v>
      </c>
      <c r="AB510" s="3">
        <v>0</v>
      </c>
      <c r="AC510" s="3">
        <v>19</v>
      </c>
      <c r="AD510" s="3">
        <v>4</v>
      </c>
      <c r="AE510" s="3">
        <v>14</v>
      </c>
      <c r="AF510" s="3" t="s">
        <v>0</v>
      </c>
      <c r="AG510" s="3" t="s">
        <v>0</v>
      </c>
    </row>
    <row r="511" spans="1:33" ht="38.25" x14ac:dyDescent="0.2">
      <c r="A511" s="4" t="str">
        <f>HYPERLINK("http://www.patentics.cn/invokexml.do?sf=ShowPatent&amp;spn=EP2493223&amp;sv=58c2cf443cb24e19ac5f3a13a1ef88e1","EP2493223")</f>
        <v>EP2493223</v>
      </c>
      <c r="B511" s="2" t="s">
        <v>2372</v>
      </c>
      <c r="C511" s="2" t="s">
        <v>1742</v>
      </c>
      <c r="D511" s="2" t="s">
        <v>346</v>
      </c>
      <c r="E511" s="2" t="s">
        <v>346</v>
      </c>
      <c r="F511" s="2" t="s">
        <v>2373</v>
      </c>
      <c r="G511" s="2" t="s">
        <v>2374</v>
      </c>
      <c r="H511" s="2" t="s">
        <v>1746</v>
      </c>
      <c r="I511" s="2" t="s">
        <v>1747</v>
      </c>
      <c r="J511" s="2" t="s">
        <v>2375</v>
      </c>
      <c r="K511" s="2" t="s">
        <v>82</v>
      </c>
      <c r="L511" s="2" t="s">
        <v>1749</v>
      </c>
      <c r="M511" s="2" t="s">
        <v>82</v>
      </c>
      <c r="N511" s="2" t="s">
        <v>807</v>
      </c>
      <c r="O511" s="2">
        <v>10</v>
      </c>
      <c r="P511" s="2">
        <v>9</v>
      </c>
      <c r="Q511" s="2" t="s">
        <v>352</v>
      </c>
      <c r="R511" s="2" t="s">
        <v>47</v>
      </c>
      <c r="S511" s="2">
        <v>0</v>
      </c>
      <c r="T511" s="2">
        <v>0</v>
      </c>
      <c r="U511" s="2">
        <v>0</v>
      </c>
      <c r="V511" s="2">
        <v>0</v>
      </c>
      <c r="W511" s="2">
        <v>6</v>
      </c>
      <c r="X511" s="2" t="s">
        <v>2376</v>
      </c>
      <c r="Y511" s="2">
        <v>0</v>
      </c>
      <c r="Z511" s="2">
        <v>6</v>
      </c>
      <c r="AA511" s="2">
        <v>2</v>
      </c>
      <c r="AB511" s="2">
        <v>2</v>
      </c>
      <c r="AC511" s="2">
        <v>4</v>
      </c>
      <c r="AD511" s="2">
        <v>3</v>
      </c>
      <c r="AE511" s="2" t="s">
        <v>0</v>
      </c>
      <c r="AF511" s="2">
        <v>5</v>
      </c>
      <c r="AG511" s="2" t="s">
        <v>0</v>
      </c>
    </row>
    <row r="512" spans="1:33" ht="216.75" x14ac:dyDescent="0.2">
      <c r="A512" s="5" t="str">
        <f>HYPERLINK("http://www.patentics.cn/invokexml.do?sf=ShowPatent&amp;spn=US8787262&amp;sv=85c60b3dbf1b31465d74a836fe70ed47","US8787262")</f>
        <v>US8787262</v>
      </c>
      <c r="B512" s="3" t="s">
        <v>1751</v>
      </c>
      <c r="C512" s="3" t="s">
        <v>1752</v>
      </c>
      <c r="D512" s="3" t="s">
        <v>52</v>
      </c>
      <c r="E512" s="3" t="s">
        <v>52</v>
      </c>
      <c r="F512" s="3" t="s">
        <v>1753</v>
      </c>
      <c r="G512" s="3" t="s">
        <v>1470</v>
      </c>
      <c r="H512" s="3" t="s">
        <v>1754</v>
      </c>
      <c r="I512" s="3" t="s">
        <v>1755</v>
      </c>
      <c r="J512" s="3" t="s">
        <v>169</v>
      </c>
      <c r="K512" s="3" t="s">
        <v>82</v>
      </c>
      <c r="L512" s="3" t="s">
        <v>83</v>
      </c>
      <c r="M512" s="3" t="s">
        <v>82</v>
      </c>
      <c r="N512" s="3" t="s">
        <v>1649</v>
      </c>
      <c r="O512" s="3">
        <v>0</v>
      </c>
      <c r="P512" s="3">
        <v>8</v>
      </c>
      <c r="Q512" s="3" t="s">
        <v>60</v>
      </c>
      <c r="R512" s="3" t="s">
        <v>61</v>
      </c>
      <c r="S512" s="3">
        <v>12</v>
      </c>
      <c r="T512" s="3">
        <v>1</v>
      </c>
      <c r="U512" s="3">
        <v>11</v>
      </c>
      <c r="V512" s="3">
        <v>8</v>
      </c>
      <c r="W512" s="3">
        <v>3</v>
      </c>
      <c r="X512" s="3" t="s">
        <v>1756</v>
      </c>
      <c r="Y512" s="3">
        <v>3</v>
      </c>
      <c r="Z512" s="3">
        <v>0</v>
      </c>
      <c r="AA512" s="3">
        <v>1</v>
      </c>
      <c r="AB512" s="3">
        <v>1</v>
      </c>
      <c r="AC512" s="3">
        <v>27</v>
      </c>
      <c r="AD512" s="3">
        <v>9</v>
      </c>
      <c r="AE512" s="3">
        <v>14</v>
      </c>
      <c r="AF512" s="3" t="s">
        <v>0</v>
      </c>
      <c r="AG512" s="3" t="s">
        <v>49</v>
      </c>
    </row>
    <row r="513" spans="1:33" ht="216.75" x14ac:dyDescent="0.2">
      <c r="A513" s="5" t="str">
        <f>HYPERLINK("http://www.patentics.cn/invokexml.do?sf=ShowPatent&amp;spn=US8953515&amp;sv=7f30688035798a70cd49a9a61bab7005","US8953515")</f>
        <v>US8953515</v>
      </c>
      <c r="B513" s="3" t="s">
        <v>1757</v>
      </c>
      <c r="C513" s="3" t="s">
        <v>1752</v>
      </c>
      <c r="D513" s="3" t="s">
        <v>52</v>
      </c>
      <c r="E513" s="3" t="s">
        <v>52</v>
      </c>
      <c r="F513" s="3" t="s">
        <v>1753</v>
      </c>
      <c r="G513" s="3" t="s">
        <v>1470</v>
      </c>
      <c r="H513" s="3" t="s">
        <v>1754</v>
      </c>
      <c r="I513" s="3" t="s">
        <v>1031</v>
      </c>
      <c r="J513" s="3" t="s">
        <v>1070</v>
      </c>
      <c r="K513" s="3" t="s">
        <v>82</v>
      </c>
      <c r="L513" s="3" t="s">
        <v>83</v>
      </c>
      <c r="M513" s="3" t="s">
        <v>82</v>
      </c>
      <c r="N513" s="3" t="s">
        <v>1649</v>
      </c>
      <c r="O513" s="3">
        <v>0</v>
      </c>
      <c r="P513" s="3">
        <v>9</v>
      </c>
      <c r="Q513" s="3" t="s">
        <v>60</v>
      </c>
      <c r="R513" s="3" t="s">
        <v>61</v>
      </c>
      <c r="S513" s="3">
        <v>30</v>
      </c>
      <c r="T513" s="3">
        <v>4</v>
      </c>
      <c r="U513" s="3">
        <v>26</v>
      </c>
      <c r="V513" s="3">
        <v>18</v>
      </c>
      <c r="W513" s="3">
        <v>1</v>
      </c>
      <c r="X513" s="3" t="s">
        <v>108</v>
      </c>
      <c r="Y513" s="3">
        <v>1</v>
      </c>
      <c r="Z513" s="3">
        <v>0</v>
      </c>
      <c r="AA513" s="3">
        <v>1</v>
      </c>
      <c r="AB513" s="3">
        <v>1</v>
      </c>
      <c r="AC513" s="3">
        <v>27</v>
      </c>
      <c r="AD513" s="3">
        <v>9</v>
      </c>
      <c r="AE513" s="3">
        <v>14</v>
      </c>
      <c r="AF513" s="3" t="s">
        <v>0</v>
      </c>
      <c r="AG513" s="3" t="s">
        <v>49</v>
      </c>
    </row>
    <row r="514" spans="1:33" ht="216.75" x14ac:dyDescent="0.2">
      <c r="A514" s="5" t="str">
        <f>HYPERLINK("http://www.patentics.cn/invokexml.do?sf=ShowPatent&amp;spn=US8989104&amp;sv=425653b5eda9dfe959efaeb82a257cfc","US8989104")</f>
        <v>US8989104</v>
      </c>
      <c r="B514" s="3" t="s">
        <v>1758</v>
      </c>
      <c r="C514" s="3" t="s">
        <v>1752</v>
      </c>
      <c r="D514" s="3" t="s">
        <v>52</v>
      </c>
      <c r="E514" s="3" t="s">
        <v>52</v>
      </c>
      <c r="F514" s="3" t="s">
        <v>1753</v>
      </c>
      <c r="G514" s="3" t="s">
        <v>1470</v>
      </c>
      <c r="H514" s="3" t="s">
        <v>1754</v>
      </c>
      <c r="I514" s="3" t="s">
        <v>169</v>
      </c>
      <c r="J514" s="3" t="s">
        <v>812</v>
      </c>
      <c r="K514" s="3" t="s">
        <v>82</v>
      </c>
      <c r="L514" s="3" t="s">
        <v>83</v>
      </c>
      <c r="M514" s="3" t="s">
        <v>82</v>
      </c>
      <c r="N514" s="3" t="s">
        <v>1649</v>
      </c>
      <c r="O514" s="3">
        <v>0</v>
      </c>
      <c r="P514" s="3">
        <v>8</v>
      </c>
      <c r="Q514" s="3" t="s">
        <v>60</v>
      </c>
      <c r="R514" s="3" t="s">
        <v>61</v>
      </c>
      <c r="S514" s="3">
        <v>39</v>
      </c>
      <c r="T514" s="3">
        <v>6</v>
      </c>
      <c r="U514" s="3">
        <v>33</v>
      </c>
      <c r="V514" s="3">
        <v>21</v>
      </c>
      <c r="W514" s="3">
        <v>1</v>
      </c>
      <c r="X514" s="3" t="s">
        <v>108</v>
      </c>
      <c r="Y514" s="3">
        <v>1</v>
      </c>
      <c r="Z514" s="3">
        <v>0</v>
      </c>
      <c r="AA514" s="3">
        <v>1</v>
      </c>
      <c r="AB514" s="3">
        <v>1</v>
      </c>
      <c r="AC514" s="3">
        <v>27</v>
      </c>
      <c r="AD514" s="3">
        <v>9</v>
      </c>
      <c r="AE514" s="3">
        <v>14</v>
      </c>
      <c r="AF514" s="3" t="s">
        <v>0</v>
      </c>
      <c r="AG514" s="3" t="s">
        <v>49</v>
      </c>
    </row>
    <row r="515" spans="1:33" ht="216.75" x14ac:dyDescent="0.2">
      <c r="A515" s="5" t="str">
        <f>HYPERLINK("http://www.patentics.cn/invokexml.do?sf=ShowPatent&amp;spn=US9148872&amp;sv=c64ddc0c82db62ca6008d5b6a63b8f17","US9148872")</f>
        <v>US9148872</v>
      </c>
      <c r="B515" s="3" t="s">
        <v>1759</v>
      </c>
      <c r="C515" s="3" t="s">
        <v>1752</v>
      </c>
      <c r="D515" s="3" t="s">
        <v>52</v>
      </c>
      <c r="E515" s="3" t="s">
        <v>52</v>
      </c>
      <c r="F515" s="3" t="s">
        <v>1753</v>
      </c>
      <c r="G515" s="3" t="s">
        <v>1470</v>
      </c>
      <c r="H515" s="3" t="s">
        <v>1754</v>
      </c>
      <c r="I515" s="3" t="s">
        <v>1760</v>
      </c>
      <c r="J515" s="3" t="s">
        <v>248</v>
      </c>
      <c r="K515" s="3" t="s">
        <v>82</v>
      </c>
      <c r="L515" s="3" t="s">
        <v>83</v>
      </c>
      <c r="M515" s="3" t="s">
        <v>82</v>
      </c>
      <c r="N515" s="3" t="s">
        <v>1420</v>
      </c>
      <c r="O515" s="3">
        <v>0</v>
      </c>
      <c r="P515" s="3">
        <v>7</v>
      </c>
      <c r="Q515" s="3" t="s">
        <v>60</v>
      </c>
      <c r="R515" s="3" t="s">
        <v>61</v>
      </c>
      <c r="S515" s="3">
        <v>53</v>
      </c>
      <c r="T515" s="3">
        <v>8</v>
      </c>
      <c r="U515" s="3">
        <v>45</v>
      </c>
      <c r="V515" s="3">
        <v>25</v>
      </c>
      <c r="W515" s="3">
        <v>0</v>
      </c>
      <c r="X515" s="3" t="s">
        <v>147</v>
      </c>
      <c r="Y515" s="3">
        <v>0</v>
      </c>
      <c r="Z515" s="3">
        <v>0</v>
      </c>
      <c r="AA515" s="3">
        <v>0</v>
      </c>
      <c r="AB515" s="3">
        <v>0</v>
      </c>
      <c r="AC515" s="3">
        <v>27</v>
      </c>
      <c r="AD515" s="3">
        <v>9</v>
      </c>
      <c r="AE515" s="3">
        <v>14</v>
      </c>
      <c r="AF515" s="3" t="s">
        <v>0</v>
      </c>
      <c r="AG515" s="3" t="s">
        <v>49</v>
      </c>
    </row>
    <row r="516" spans="1:33" ht="63.75" x14ac:dyDescent="0.2">
      <c r="A516" s="5" t="str">
        <f>HYPERLINK("http://www.patentics.cn/invokexml.do?sf=ShowPatent&amp;spn=WO2015116810&amp;sv=5ff35d913ad0c086b5af12c381bbb5c1","WO2015116810")</f>
        <v>WO2015116810</v>
      </c>
      <c r="B516" s="3" t="s">
        <v>2377</v>
      </c>
      <c r="C516" s="3" t="s">
        <v>2378</v>
      </c>
      <c r="D516" s="3" t="s">
        <v>52</v>
      </c>
      <c r="E516" s="3" t="s">
        <v>52</v>
      </c>
      <c r="F516" s="3" t="s">
        <v>2379</v>
      </c>
      <c r="G516" s="3" t="s">
        <v>2380</v>
      </c>
      <c r="H516" s="3" t="s">
        <v>968</v>
      </c>
      <c r="I516" s="3" t="s">
        <v>2381</v>
      </c>
      <c r="J516" s="3" t="s">
        <v>2382</v>
      </c>
      <c r="K516" s="3" t="s">
        <v>70</v>
      </c>
      <c r="L516" s="3" t="s">
        <v>71</v>
      </c>
      <c r="M516" s="3" t="s">
        <v>0</v>
      </c>
      <c r="N516" s="3" t="s">
        <v>0</v>
      </c>
      <c r="O516" s="3">
        <v>16</v>
      </c>
      <c r="P516" s="3">
        <v>24</v>
      </c>
      <c r="Q516" s="3" t="s">
        <v>352</v>
      </c>
      <c r="R516" s="3" t="s">
        <v>61</v>
      </c>
      <c r="S516" s="3">
        <v>5</v>
      </c>
      <c r="T516" s="3">
        <v>2</v>
      </c>
      <c r="U516" s="3">
        <v>3</v>
      </c>
      <c r="V516" s="3">
        <v>4</v>
      </c>
      <c r="W516" s="3">
        <v>0</v>
      </c>
      <c r="X516" s="3" t="s">
        <v>147</v>
      </c>
      <c r="Y516" s="3">
        <v>0</v>
      </c>
      <c r="Z516" s="3">
        <v>0</v>
      </c>
      <c r="AA516" s="3">
        <v>0</v>
      </c>
      <c r="AB516" s="3">
        <v>0</v>
      </c>
      <c r="AC516" s="3">
        <v>1</v>
      </c>
      <c r="AD516" s="3">
        <v>2</v>
      </c>
      <c r="AE516" s="3">
        <v>14</v>
      </c>
      <c r="AF516" s="3" t="s">
        <v>0</v>
      </c>
      <c r="AG516" s="3" t="s">
        <v>0</v>
      </c>
    </row>
    <row r="517" spans="1:33" ht="63.75" x14ac:dyDescent="0.2">
      <c r="A517" s="4" t="str">
        <f>HYPERLINK("http://www.patentics.cn/invokexml.do?sf=ShowPatent&amp;spn=EP1968226&amp;sv=4a4faebb81c68ce2ce74b1943020008e","EP1968226")</f>
        <v>EP1968226</v>
      </c>
      <c r="B517" s="2" t="s">
        <v>2383</v>
      </c>
      <c r="C517" s="2" t="s">
        <v>2384</v>
      </c>
      <c r="D517" s="2" t="s">
        <v>346</v>
      </c>
      <c r="E517" s="2" t="s">
        <v>346</v>
      </c>
      <c r="F517" s="2" t="s">
        <v>2385</v>
      </c>
      <c r="G517" s="2" t="s">
        <v>2386</v>
      </c>
      <c r="H517" s="2" t="s">
        <v>2387</v>
      </c>
      <c r="I517" s="2" t="s">
        <v>2387</v>
      </c>
      <c r="J517" s="2" t="s">
        <v>2061</v>
      </c>
      <c r="K517" s="2" t="s">
        <v>82</v>
      </c>
      <c r="L517" s="2" t="s">
        <v>1444</v>
      </c>
      <c r="M517" s="2" t="s">
        <v>82</v>
      </c>
      <c r="N517" s="2" t="s">
        <v>1473</v>
      </c>
      <c r="O517" s="2">
        <v>10</v>
      </c>
      <c r="P517" s="2">
        <v>20</v>
      </c>
      <c r="Q517" s="2" t="s">
        <v>352</v>
      </c>
      <c r="R517" s="2" t="s">
        <v>47</v>
      </c>
      <c r="S517" s="2">
        <v>3</v>
      </c>
      <c r="T517" s="2">
        <v>0</v>
      </c>
      <c r="U517" s="2">
        <v>3</v>
      </c>
      <c r="V517" s="2">
        <v>2</v>
      </c>
      <c r="W517" s="2">
        <v>6</v>
      </c>
      <c r="X517" s="2" t="s">
        <v>2388</v>
      </c>
      <c r="Y517" s="2">
        <v>1</v>
      </c>
      <c r="Z517" s="2">
        <v>5</v>
      </c>
      <c r="AA517" s="2">
        <v>2</v>
      </c>
      <c r="AB517" s="2">
        <v>2</v>
      </c>
      <c r="AC517" s="2">
        <v>7</v>
      </c>
      <c r="AD517" s="2">
        <v>4</v>
      </c>
      <c r="AE517" s="2" t="s">
        <v>0</v>
      </c>
      <c r="AF517" s="2">
        <v>5</v>
      </c>
      <c r="AG517" s="2" t="s">
        <v>0</v>
      </c>
    </row>
    <row r="518" spans="1:33" ht="102" x14ac:dyDescent="0.2">
      <c r="A518" s="5" t="str">
        <f>HYPERLINK("http://www.patentics.cn/invokexml.do?sf=ShowPatent&amp;spn=US9137778&amp;sv=f2fadf850c967e6c52d9a405232c6a95","US9137778")</f>
        <v>US9137778</v>
      </c>
      <c r="B518" s="3" t="s">
        <v>2389</v>
      </c>
      <c r="C518" s="3" t="s">
        <v>2390</v>
      </c>
      <c r="D518" s="3" t="s">
        <v>52</v>
      </c>
      <c r="E518" s="3" t="s">
        <v>52</v>
      </c>
      <c r="F518" s="3" t="s">
        <v>2391</v>
      </c>
      <c r="G518" s="3" t="s">
        <v>2392</v>
      </c>
      <c r="H518" s="3" t="s">
        <v>2393</v>
      </c>
      <c r="I518" s="3" t="s">
        <v>2394</v>
      </c>
      <c r="J518" s="3" t="s">
        <v>225</v>
      </c>
      <c r="K518" s="3" t="s">
        <v>82</v>
      </c>
      <c r="L518" s="3" t="s">
        <v>827</v>
      </c>
      <c r="M518" s="3" t="s">
        <v>82</v>
      </c>
      <c r="N518" s="3" t="s">
        <v>1473</v>
      </c>
      <c r="O518" s="3">
        <v>0</v>
      </c>
      <c r="P518" s="3">
        <v>10</v>
      </c>
      <c r="Q518" s="3" t="s">
        <v>60</v>
      </c>
      <c r="R518" s="3" t="s">
        <v>61</v>
      </c>
      <c r="S518" s="3">
        <v>67</v>
      </c>
      <c r="T518" s="3">
        <v>12</v>
      </c>
      <c r="U518" s="3">
        <v>55</v>
      </c>
      <c r="V518" s="3">
        <v>28</v>
      </c>
      <c r="W518" s="3">
        <v>1</v>
      </c>
      <c r="X518" s="3" t="s">
        <v>1232</v>
      </c>
      <c r="Y518" s="3">
        <v>0</v>
      </c>
      <c r="Z518" s="3">
        <v>1</v>
      </c>
      <c r="AA518" s="3">
        <v>1</v>
      </c>
      <c r="AB518" s="3">
        <v>1</v>
      </c>
      <c r="AC518" s="3">
        <v>5</v>
      </c>
      <c r="AD518" s="3">
        <v>2</v>
      </c>
      <c r="AE518" s="3">
        <v>14</v>
      </c>
      <c r="AF518" s="3" t="s">
        <v>0</v>
      </c>
      <c r="AG518" s="3" t="s">
        <v>49</v>
      </c>
    </row>
    <row r="519" spans="1:33" ht="165.75" x14ac:dyDescent="0.2">
      <c r="A519" s="5" t="str">
        <f>HYPERLINK("http://www.patentics.cn/invokexml.do?sf=ShowPatent&amp;spn=US9560630&amp;sv=5eccc6a31f369afce832145ca27886aa","US9560630")</f>
        <v>US9560630</v>
      </c>
      <c r="B519" s="3" t="s">
        <v>2395</v>
      </c>
      <c r="C519" s="3" t="s">
        <v>2396</v>
      </c>
      <c r="D519" s="3" t="s">
        <v>52</v>
      </c>
      <c r="E519" s="3" t="s">
        <v>52</v>
      </c>
      <c r="F519" s="3" t="s">
        <v>2397</v>
      </c>
      <c r="G519" s="3" t="s">
        <v>2392</v>
      </c>
      <c r="H519" s="3" t="s">
        <v>2398</v>
      </c>
      <c r="I519" s="3" t="s">
        <v>1708</v>
      </c>
      <c r="J519" s="3" t="s">
        <v>2399</v>
      </c>
      <c r="K519" s="3" t="s">
        <v>82</v>
      </c>
      <c r="L519" s="3" t="s">
        <v>1444</v>
      </c>
      <c r="M519" s="3" t="s">
        <v>82</v>
      </c>
      <c r="N519" s="3" t="s">
        <v>1473</v>
      </c>
      <c r="O519" s="3">
        <v>0</v>
      </c>
      <c r="P519" s="3">
        <v>10</v>
      </c>
      <c r="Q519" s="3" t="s">
        <v>60</v>
      </c>
      <c r="R519" s="3" t="s">
        <v>61</v>
      </c>
      <c r="S519" s="3">
        <v>97</v>
      </c>
      <c r="T519" s="3">
        <v>13</v>
      </c>
      <c r="U519" s="3">
        <v>84</v>
      </c>
      <c r="V519" s="3">
        <v>36</v>
      </c>
      <c r="W519" s="3">
        <v>0</v>
      </c>
      <c r="X519" s="3" t="s">
        <v>147</v>
      </c>
      <c r="Y519" s="3">
        <v>0</v>
      </c>
      <c r="Z519" s="3">
        <v>0</v>
      </c>
      <c r="AA519" s="3">
        <v>0</v>
      </c>
      <c r="AB519" s="3">
        <v>0</v>
      </c>
      <c r="AC519" s="3">
        <v>19</v>
      </c>
      <c r="AD519" s="3">
        <v>11</v>
      </c>
      <c r="AE519" s="3">
        <v>14</v>
      </c>
      <c r="AF519" s="3" t="s">
        <v>0</v>
      </c>
      <c r="AG519" s="3" t="s">
        <v>49</v>
      </c>
    </row>
    <row r="520" spans="1:33" ht="165.75" x14ac:dyDescent="0.2">
      <c r="A520" s="5" t="str">
        <f>HYPERLINK("http://www.patentics.cn/invokexml.do?sf=ShowPatent&amp;spn=US9560632&amp;sv=d469a7366d34d15716bd0b7633cf9419","US9560632")</f>
        <v>US9560632</v>
      </c>
      <c r="B520" s="3" t="s">
        <v>2400</v>
      </c>
      <c r="C520" s="3" t="s">
        <v>2401</v>
      </c>
      <c r="D520" s="3" t="s">
        <v>52</v>
      </c>
      <c r="E520" s="3" t="s">
        <v>52</v>
      </c>
      <c r="F520" s="3" t="s">
        <v>2397</v>
      </c>
      <c r="G520" s="3" t="s">
        <v>2392</v>
      </c>
      <c r="H520" s="3" t="s">
        <v>2398</v>
      </c>
      <c r="I520" s="3" t="s">
        <v>2402</v>
      </c>
      <c r="J520" s="3" t="s">
        <v>2399</v>
      </c>
      <c r="K520" s="3" t="s">
        <v>58</v>
      </c>
      <c r="L520" s="3" t="s">
        <v>2403</v>
      </c>
      <c r="M520" s="3" t="s">
        <v>82</v>
      </c>
      <c r="N520" s="3" t="s">
        <v>1445</v>
      </c>
      <c r="O520" s="3">
        <v>0</v>
      </c>
      <c r="P520" s="3">
        <v>23</v>
      </c>
      <c r="Q520" s="3" t="s">
        <v>60</v>
      </c>
      <c r="R520" s="3" t="s">
        <v>61</v>
      </c>
      <c r="S520" s="3">
        <v>96</v>
      </c>
      <c r="T520" s="3">
        <v>13</v>
      </c>
      <c r="U520" s="3">
        <v>83</v>
      </c>
      <c r="V520" s="3">
        <v>36</v>
      </c>
      <c r="W520" s="3">
        <v>0</v>
      </c>
      <c r="X520" s="3" t="s">
        <v>147</v>
      </c>
      <c r="Y520" s="3">
        <v>0</v>
      </c>
      <c r="Z520" s="3">
        <v>0</v>
      </c>
      <c r="AA520" s="3">
        <v>0</v>
      </c>
      <c r="AB520" s="3">
        <v>0</v>
      </c>
      <c r="AC520" s="3">
        <v>19</v>
      </c>
      <c r="AD520" s="3">
        <v>11</v>
      </c>
      <c r="AE520" s="3">
        <v>14</v>
      </c>
      <c r="AF520" s="3" t="s">
        <v>0</v>
      </c>
      <c r="AG520" s="3" t="s">
        <v>49</v>
      </c>
    </row>
    <row r="521" spans="1:33" ht="102" x14ac:dyDescent="0.2">
      <c r="A521" s="5" t="str">
        <f>HYPERLINK("http://www.patentics.cn/invokexml.do?sf=ShowPatent&amp;spn=US9591612&amp;sv=fd43bc44b2ad76693ed27118e8ff15d1","US9591612")</f>
        <v>US9591612</v>
      </c>
      <c r="B521" s="3" t="s">
        <v>2404</v>
      </c>
      <c r="C521" s="3" t="s">
        <v>2405</v>
      </c>
      <c r="D521" s="3" t="s">
        <v>52</v>
      </c>
      <c r="E521" s="3" t="s">
        <v>52</v>
      </c>
      <c r="F521" s="3" t="s">
        <v>2391</v>
      </c>
      <c r="G521" s="3" t="s">
        <v>2392</v>
      </c>
      <c r="H521" s="3" t="s">
        <v>2393</v>
      </c>
      <c r="I521" s="3" t="s">
        <v>2394</v>
      </c>
      <c r="J521" s="3" t="s">
        <v>2406</v>
      </c>
      <c r="K521" s="3" t="s">
        <v>95</v>
      </c>
      <c r="L521" s="3" t="s">
        <v>2407</v>
      </c>
      <c r="M521" s="3" t="s">
        <v>82</v>
      </c>
      <c r="N521" s="3" t="s">
        <v>1473</v>
      </c>
      <c r="O521" s="3">
        <v>0</v>
      </c>
      <c r="P521" s="3">
        <v>12</v>
      </c>
      <c r="Q521" s="3" t="s">
        <v>60</v>
      </c>
      <c r="R521" s="3" t="s">
        <v>61</v>
      </c>
      <c r="S521" s="3">
        <v>66</v>
      </c>
      <c r="T521" s="3">
        <v>11</v>
      </c>
      <c r="U521" s="3">
        <v>55</v>
      </c>
      <c r="V521" s="3">
        <v>28</v>
      </c>
      <c r="W521" s="3">
        <v>0</v>
      </c>
      <c r="X521" s="3" t="s">
        <v>147</v>
      </c>
      <c r="Y521" s="3">
        <v>0</v>
      </c>
      <c r="Z521" s="3">
        <v>0</v>
      </c>
      <c r="AA521" s="3">
        <v>0</v>
      </c>
      <c r="AB521" s="3">
        <v>0</v>
      </c>
      <c r="AC521" s="3">
        <v>5</v>
      </c>
      <c r="AD521" s="3">
        <v>2</v>
      </c>
      <c r="AE521" s="3">
        <v>14</v>
      </c>
      <c r="AF521" s="3" t="s">
        <v>0</v>
      </c>
      <c r="AG521" s="3" t="s">
        <v>49</v>
      </c>
    </row>
    <row r="522" spans="1:33" ht="140.25" x14ac:dyDescent="0.2">
      <c r="A522" s="5" t="str">
        <f>HYPERLINK("http://www.patentics.cn/invokexml.do?sf=ShowPatent&amp;spn=WO2013086030&amp;sv=95b80c12494e97c10601c5c31adf9492","WO2013086030")</f>
        <v>WO2013086030</v>
      </c>
      <c r="B522" s="3" t="s">
        <v>2408</v>
      </c>
      <c r="C522" s="3" t="s">
        <v>2390</v>
      </c>
      <c r="D522" s="3" t="s">
        <v>52</v>
      </c>
      <c r="E522" s="3" t="s">
        <v>52</v>
      </c>
      <c r="F522" s="3" t="s">
        <v>2409</v>
      </c>
      <c r="G522" s="3" t="s">
        <v>2410</v>
      </c>
      <c r="H522" s="3" t="s">
        <v>2393</v>
      </c>
      <c r="I522" s="3" t="s">
        <v>2411</v>
      </c>
      <c r="J522" s="3" t="s">
        <v>1886</v>
      </c>
      <c r="K522" s="3" t="s">
        <v>82</v>
      </c>
      <c r="L522" s="3" t="s">
        <v>827</v>
      </c>
      <c r="M522" s="3" t="s">
        <v>0</v>
      </c>
      <c r="N522" s="3" t="s">
        <v>0</v>
      </c>
      <c r="O522" s="3">
        <v>32</v>
      </c>
      <c r="P522" s="3">
        <v>10</v>
      </c>
      <c r="Q522" s="3" t="s">
        <v>352</v>
      </c>
      <c r="R522" s="3" t="s">
        <v>61</v>
      </c>
      <c r="S522" s="3">
        <v>6</v>
      </c>
      <c r="T522" s="3">
        <v>1</v>
      </c>
      <c r="U522" s="3">
        <v>5</v>
      </c>
      <c r="V522" s="3">
        <v>4</v>
      </c>
      <c r="W522" s="3">
        <v>0</v>
      </c>
      <c r="X522" s="3" t="s">
        <v>147</v>
      </c>
      <c r="Y522" s="3">
        <v>0</v>
      </c>
      <c r="Z522" s="3">
        <v>0</v>
      </c>
      <c r="AA522" s="3">
        <v>0</v>
      </c>
      <c r="AB522" s="3">
        <v>0</v>
      </c>
      <c r="AC522" s="3">
        <v>5</v>
      </c>
      <c r="AD522" s="3">
        <v>2</v>
      </c>
      <c r="AE522" s="3">
        <v>14</v>
      </c>
      <c r="AF522" s="3" t="s">
        <v>0</v>
      </c>
      <c r="AG522" s="3" t="s">
        <v>0</v>
      </c>
    </row>
    <row r="523" spans="1:33" ht="25.5" x14ac:dyDescent="0.2">
      <c r="A523" s="4" t="str">
        <f>HYPERLINK("http://www.patentics.cn/invokexml.do?sf=ShowPatent&amp;spn=CN101945386&amp;sv=e9adcda6194c5728ee9cf3f3294063dd","CN101945386")</f>
        <v>CN101945386</v>
      </c>
      <c r="B523" s="2" t="s">
        <v>2412</v>
      </c>
      <c r="C523" s="2" t="s">
        <v>2413</v>
      </c>
      <c r="D523" s="2" t="s">
        <v>38</v>
      </c>
      <c r="E523" s="2" t="s">
        <v>38</v>
      </c>
      <c r="F523" s="2" t="s">
        <v>2414</v>
      </c>
      <c r="G523" s="2" t="s">
        <v>2415</v>
      </c>
      <c r="H523" s="2" t="s">
        <v>964</v>
      </c>
      <c r="I523" s="2" t="s">
        <v>964</v>
      </c>
      <c r="J523" s="2" t="s">
        <v>2416</v>
      </c>
      <c r="K523" s="2" t="s">
        <v>82</v>
      </c>
      <c r="L523" s="2" t="s">
        <v>2417</v>
      </c>
      <c r="M523" s="2" t="s">
        <v>0</v>
      </c>
      <c r="N523" s="2" t="s">
        <v>0</v>
      </c>
      <c r="O523" s="2">
        <v>22</v>
      </c>
      <c r="P523" s="2">
        <v>9</v>
      </c>
      <c r="Q523" s="2" t="s">
        <v>46</v>
      </c>
      <c r="R523" s="2" t="s">
        <v>47</v>
      </c>
      <c r="S523" s="2">
        <v>0</v>
      </c>
      <c r="T523" s="2">
        <v>0</v>
      </c>
      <c r="U523" s="2">
        <v>0</v>
      </c>
      <c r="V523" s="2">
        <v>0</v>
      </c>
      <c r="W523" s="2">
        <v>7</v>
      </c>
      <c r="X523" s="2" t="s">
        <v>2418</v>
      </c>
      <c r="Y523" s="2">
        <v>2</v>
      </c>
      <c r="Z523" s="2">
        <v>5</v>
      </c>
      <c r="AA523" s="2">
        <v>2</v>
      </c>
      <c r="AB523" s="2">
        <v>3</v>
      </c>
      <c r="AC523" s="2">
        <v>1</v>
      </c>
      <c r="AD523" s="2">
        <v>2</v>
      </c>
      <c r="AE523" s="2" t="s">
        <v>0</v>
      </c>
      <c r="AF523" s="2">
        <v>5</v>
      </c>
      <c r="AG523" s="2" t="s">
        <v>49</v>
      </c>
    </row>
    <row r="524" spans="1:33" ht="63.75" x14ac:dyDescent="0.2">
      <c r="A524" s="5" t="str">
        <f>HYPERLINK("http://www.patentics.cn/invokexml.do?sf=ShowPatent&amp;spn=US8839373&amp;sv=a673d059be180ce38760e0632610f65c","US8839373")</f>
        <v>US8839373</v>
      </c>
      <c r="B524" s="3" t="s">
        <v>2419</v>
      </c>
      <c r="C524" s="3" t="s">
        <v>2420</v>
      </c>
      <c r="D524" s="3" t="s">
        <v>52</v>
      </c>
      <c r="E524" s="3" t="s">
        <v>52</v>
      </c>
      <c r="F524" s="3" t="s">
        <v>2421</v>
      </c>
      <c r="G524" s="3" t="s">
        <v>2422</v>
      </c>
      <c r="H524" s="3" t="s">
        <v>2423</v>
      </c>
      <c r="I524" s="3" t="s">
        <v>2424</v>
      </c>
      <c r="J524" s="3" t="s">
        <v>1045</v>
      </c>
      <c r="K524" s="3" t="s">
        <v>82</v>
      </c>
      <c r="L524" s="3" t="s">
        <v>2425</v>
      </c>
      <c r="M524" s="3" t="s">
        <v>58</v>
      </c>
      <c r="N524" s="3" t="s">
        <v>2426</v>
      </c>
      <c r="O524" s="3">
        <v>0</v>
      </c>
      <c r="P524" s="3">
        <v>13</v>
      </c>
      <c r="Q524" s="3" t="s">
        <v>60</v>
      </c>
      <c r="R524" s="3" t="s">
        <v>61</v>
      </c>
      <c r="S524" s="3">
        <v>41</v>
      </c>
      <c r="T524" s="3">
        <v>7</v>
      </c>
      <c r="U524" s="3">
        <v>34</v>
      </c>
      <c r="V524" s="3">
        <v>18</v>
      </c>
      <c r="W524" s="3">
        <v>6</v>
      </c>
      <c r="X524" s="3" t="s">
        <v>147</v>
      </c>
      <c r="Y524" s="3">
        <v>0</v>
      </c>
      <c r="Z524" s="3">
        <v>6</v>
      </c>
      <c r="AA524" s="3">
        <v>0</v>
      </c>
      <c r="AB524" s="3">
        <v>1</v>
      </c>
      <c r="AC524" s="3">
        <v>11</v>
      </c>
      <c r="AD524" s="3">
        <v>8</v>
      </c>
      <c r="AE524" s="3">
        <v>14</v>
      </c>
      <c r="AF524" s="3" t="s">
        <v>0</v>
      </c>
      <c r="AG524" s="3" t="s">
        <v>49</v>
      </c>
    </row>
    <row r="525" spans="1:33" ht="51" x14ac:dyDescent="0.2">
      <c r="A525" s="5" t="str">
        <f>HYPERLINK("http://www.patentics.cn/invokexml.do?sf=ShowPatent&amp;spn=US8887258&amp;sv=c3ee1ef144c85946762ad9054026a3d7","US8887258")</f>
        <v>US8887258</v>
      </c>
      <c r="B525" s="3" t="s">
        <v>2427</v>
      </c>
      <c r="C525" s="3" t="s">
        <v>2428</v>
      </c>
      <c r="D525" s="3" t="s">
        <v>52</v>
      </c>
      <c r="E525" s="3" t="s">
        <v>52</v>
      </c>
      <c r="F525" s="3" t="s">
        <v>2429</v>
      </c>
      <c r="G525" s="3" t="s">
        <v>2430</v>
      </c>
      <c r="H525" s="3" t="s">
        <v>2431</v>
      </c>
      <c r="I525" s="3" t="s">
        <v>2432</v>
      </c>
      <c r="J525" s="3" t="s">
        <v>196</v>
      </c>
      <c r="K525" s="3" t="s">
        <v>555</v>
      </c>
      <c r="L525" s="3" t="s">
        <v>2433</v>
      </c>
      <c r="M525" s="3" t="s">
        <v>58</v>
      </c>
      <c r="N525" s="3" t="s">
        <v>2434</v>
      </c>
      <c r="O525" s="3">
        <v>0</v>
      </c>
      <c r="P525" s="3">
        <v>21</v>
      </c>
      <c r="Q525" s="3" t="s">
        <v>60</v>
      </c>
      <c r="R525" s="3" t="s">
        <v>61</v>
      </c>
      <c r="S525" s="3">
        <v>31</v>
      </c>
      <c r="T525" s="3">
        <v>2</v>
      </c>
      <c r="U525" s="3">
        <v>29</v>
      </c>
      <c r="V525" s="3">
        <v>22</v>
      </c>
      <c r="W525" s="3">
        <v>0</v>
      </c>
      <c r="X525" s="3" t="s">
        <v>147</v>
      </c>
      <c r="Y525" s="3">
        <v>0</v>
      </c>
      <c r="Z525" s="3">
        <v>0</v>
      </c>
      <c r="AA525" s="3">
        <v>0</v>
      </c>
      <c r="AB525" s="3">
        <v>0</v>
      </c>
      <c r="AC525" s="3">
        <v>6</v>
      </c>
      <c r="AD525" s="3">
        <v>6</v>
      </c>
      <c r="AE525" s="3">
        <v>14</v>
      </c>
      <c r="AF525" s="3" t="s">
        <v>0</v>
      </c>
      <c r="AG525" s="3" t="s">
        <v>49</v>
      </c>
    </row>
    <row r="526" spans="1:33" ht="63.75" x14ac:dyDescent="0.2">
      <c r="A526" s="5" t="str">
        <f>HYPERLINK("http://www.patentics.cn/invokexml.do?sf=ShowPatent&amp;spn=US9112905&amp;sv=42d773b15a368fed8d5412a936d1a509","US9112905")</f>
        <v>US9112905</v>
      </c>
      <c r="B526" s="3" t="s">
        <v>2435</v>
      </c>
      <c r="C526" s="3" t="s">
        <v>2436</v>
      </c>
      <c r="D526" s="3" t="s">
        <v>52</v>
      </c>
      <c r="E526" s="3" t="s">
        <v>52</v>
      </c>
      <c r="F526" s="3" t="s">
        <v>2437</v>
      </c>
      <c r="G526" s="3" t="s">
        <v>2438</v>
      </c>
      <c r="H526" s="3" t="s">
        <v>687</v>
      </c>
      <c r="I526" s="3" t="s">
        <v>2439</v>
      </c>
      <c r="J526" s="3" t="s">
        <v>2440</v>
      </c>
      <c r="K526" s="3" t="s">
        <v>82</v>
      </c>
      <c r="L526" s="3" t="s">
        <v>1294</v>
      </c>
      <c r="M526" s="3" t="s">
        <v>0</v>
      </c>
      <c r="N526" s="3" t="s">
        <v>0</v>
      </c>
      <c r="O526" s="3">
        <v>0</v>
      </c>
      <c r="P526" s="3">
        <v>23</v>
      </c>
      <c r="Q526" s="3" t="s">
        <v>60</v>
      </c>
      <c r="R526" s="3" t="s">
        <v>61</v>
      </c>
      <c r="S526" s="3">
        <v>79</v>
      </c>
      <c r="T526" s="3">
        <v>7</v>
      </c>
      <c r="U526" s="3">
        <v>72</v>
      </c>
      <c r="V526" s="3">
        <v>40</v>
      </c>
      <c r="W526" s="3">
        <v>1</v>
      </c>
      <c r="X526" s="3" t="s">
        <v>108</v>
      </c>
      <c r="Y526" s="3">
        <v>0</v>
      </c>
      <c r="Z526" s="3">
        <v>1</v>
      </c>
      <c r="AA526" s="3">
        <v>1</v>
      </c>
      <c r="AB526" s="3">
        <v>1</v>
      </c>
      <c r="AC526" s="3">
        <v>7</v>
      </c>
      <c r="AD526" s="3">
        <v>6</v>
      </c>
      <c r="AE526" s="3">
        <v>14</v>
      </c>
      <c r="AF526" s="3" t="s">
        <v>0</v>
      </c>
      <c r="AG526" s="3" t="s">
        <v>49</v>
      </c>
    </row>
    <row r="527" spans="1:33" ht="63.75" x14ac:dyDescent="0.2">
      <c r="A527" s="5" t="str">
        <f>HYPERLINK("http://www.patentics.cn/invokexml.do?sf=ShowPatent&amp;spn=US9385862&amp;sv=137c2ad931c88a41c96b09020a8a073c","US9385862")</f>
        <v>US9385862</v>
      </c>
      <c r="B527" s="3" t="s">
        <v>2441</v>
      </c>
      <c r="C527" s="3" t="s">
        <v>2442</v>
      </c>
      <c r="D527" s="3" t="s">
        <v>52</v>
      </c>
      <c r="E527" s="3" t="s">
        <v>52</v>
      </c>
      <c r="F527" s="3" t="s">
        <v>2443</v>
      </c>
      <c r="G527" s="3" t="s">
        <v>2444</v>
      </c>
      <c r="H527" s="3" t="s">
        <v>1308</v>
      </c>
      <c r="I527" s="3" t="s">
        <v>2445</v>
      </c>
      <c r="J527" s="3" t="s">
        <v>708</v>
      </c>
      <c r="K527" s="3" t="s">
        <v>58</v>
      </c>
      <c r="L527" s="3" t="s">
        <v>2446</v>
      </c>
      <c r="M527" s="3" t="s">
        <v>58</v>
      </c>
      <c r="N527" s="3" t="s">
        <v>2447</v>
      </c>
      <c r="O527" s="3">
        <v>0</v>
      </c>
      <c r="P527" s="3">
        <v>16</v>
      </c>
      <c r="Q527" s="3" t="s">
        <v>60</v>
      </c>
      <c r="R527" s="3" t="s">
        <v>61</v>
      </c>
      <c r="S527" s="3">
        <v>88</v>
      </c>
      <c r="T527" s="3">
        <v>13</v>
      </c>
      <c r="U527" s="3">
        <v>75</v>
      </c>
      <c r="V527" s="3">
        <v>37</v>
      </c>
      <c r="W527" s="3">
        <v>0</v>
      </c>
      <c r="X527" s="3" t="s">
        <v>147</v>
      </c>
      <c r="Y527" s="3">
        <v>0</v>
      </c>
      <c r="Z527" s="3">
        <v>0</v>
      </c>
      <c r="AA527" s="3">
        <v>0</v>
      </c>
      <c r="AB527" s="3">
        <v>0</v>
      </c>
      <c r="AC527" s="3">
        <v>19</v>
      </c>
      <c r="AD527" s="3">
        <v>14</v>
      </c>
      <c r="AE527" s="3">
        <v>14</v>
      </c>
      <c r="AF527" s="3" t="s">
        <v>0</v>
      </c>
      <c r="AG527" s="3" t="s">
        <v>49</v>
      </c>
    </row>
    <row r="528" spans="1:33" ht="38.25" x14ac:dyDescent="0.2">
      <c r="A528" s="5" t="str">
        <f>HYPERLINK("http://www.patentics.cn/invokexml.do?sf=ShowPatent&amp;spn=US9578498&amp;sv=4994c4d598d5777f02a815394acf79ae","US9578498")</f>
        <v>US9578498</v>
      </c>
      <c r="B528" s="3" t="s">
        <v>2448</v>
      </c>
      <c r="C528" s="3" t="s">
        <v>2449</v>
      </c>
      <c r="D528" s="3" t="s">
        <v>52</v>
      </c>
      <c r="E528" s="3" t="s">
        <v>52</v>
      </c>
      <c r="F528" s="3" t="s">
        <v>2450</v>
      </c>
      <c r="G528" s="3" t="s">
        <v>2451</v>
      </c>
      <c r="H528" s="3" t="s">
        <v>1115</v>
      </c>
      <c r="I528" s="3" t="s">
        <v>2452</v>
      </c>
      <c r="J528" s="3" t="s">
        <v>871</v>
      </c>
      <c r="K528" s="3" t="s">
        <v>555</v>
      </c>
      <c r="L528" s="3" t="s">
        <v>1553</v>
      </c>
      <c r="M528" s="3" t="s">
        <v>82</v>
      </c>
      <c r="N528" s="3" t="s">
        <v>1277</v>
      </c>
      <c r="O528" s="3">
        <v>0</v>
      </c>
      <c r="P528" s="3">
        <v>19</v>
      </c>
      <c r="Q528" s="3" t="s">
        <v>60</v>
      </c>
      <c r="R528" s="3" t="s">
        <v>47</v>
      </c>
      <c r="S528" s="3">
        <v>84</v>
      </c>
      <c r="T528" s="3">
        <v>7</v>
      </c>
      <c r="U528" s="3">
        <v>77</v>
      </c>
      <c r="V528" s="3">
        <v>43</v>
      </c>
      <c r="W528" s="3">
        <v>0</v>
      </c>
      <c r="X528" s="3" t="s">
        <v>147</v>
      </c>
      <c r="Y528" s="3">
        <v>0</v>
      </c>
      <c r="Z528" s="3">
        <v>0</v>
      </c>
      <c r="AA528" s="3">
        <v>0</v>
      </c>
      <c r="AB528" s="3">
        <v>0</v>
      </c>
      <c r="AC528" s="3">
        <v>10</v>
      </c>
      <c r="AD528" s="3">
        <v>6</v>
      </c>
      <c r="AE528" s="3">
        <v>14</v>
      </c>
      <c r="AF528" s="3" t="s">
        <v>0</v>
      </c>
      <c r="AG528" s="3" t="s">
        <v>49</v>
      </c>
    </row>
    <row r="529" spans="1:33" ht="38.25" x14ac:dyDescent="0.2">
      <c r="A529" s="4" t="str">
        <f>HYPERLINK("http://www.patentics.cn/invokexml.do?sf=ShowPatent&amp;spn=CN101478808&amp;sv=a7105d85e3494736589ff28c8bf6e0cc","CN101478808")</f>
        <v>CN101478808</v>
      </c>
      <c r="B529" s="2" t="s">
        <v>2453</v>
      </c>
      <c r="C529" s="2" t="s">
        <v>2454</v>
      </c>
      <c r="D529" s="2" t="s">
        <v>38</v>
      </c>
      <c r="E529" s="2" t="s">
        <v>38</v>
      </c>
      <c r="F529" s="2" t="s">
        <v>1174</v>
      </c>
      <c r="G529" s="2" t="s">
        <v>1175</v>
      </c>
      <c r="H529" s="2" t="s">
        <v>2455</v>
      </c>
      <c r="I529" s="2" t="s">
        <v>2455</v>
      </c>
      <c r="J529" s="2" t="s">
        <v>2456</v>
      </c>
      <c r="K529" s="2" t="s">
        <v>82</v>
      </c>
      <c r="L529" s="2" t="s">
        <v>2457</v>
      </c>
      <c r="M529" s="2" t="s">
        <v>0</v>
      </c>
      <c r="N529" s="2" t="s">
        <v>0</v>
      </c>
      <c r="O529" s="2">
        <v>21</v>
      </c>
      <c r="P529" s="2">
        <v>9</v>
      </c>
      <c r="Q529" s="2" t="s">
        <v>46</v>
      </c>
      <c r="R529" s="2" t="s">
        <v>47</v>
      </c>
      <c r="S529" s="2">
        <v>0</v>
      </c>
      <c r="T529" s="2">
        <v>0</v>
      </c>
      <c r="U529" s="2">
        <v>0</v>
      </c>
      <c r="V529" s="2">
        <v>0</v>
      </c>
      <c r="W529" s="2">
        <v>64</v>
      </c>
      <c r="X529" s="2" t="s">
        <v>2458</v>
      </c>
      <c r="Y529" s="2">
        <v>26</v>
      </c>
      <c r="Z529" s="2">
        <v>38</v>
      </c>
      <c r="AA529" s="2">
        <v>11</v>
      </c>
      <c r="AB529" s="2">
        <v>3</v>
      </c>
      <c r="AC529" s="2">
        <v>1</v>
      </c>
      <c r="AD529" s="2">
        <v>1</v>
      </c>
      <c r="AE529" s="2" t="s">
        <v>0</v>
      </c>
      <c r="AF529" s="2">
        <v>5</v>
      </c>
      <c r="AG529" s="2" t="s">
        <v>49</v>
      </c>
    </row>
    <row r="530" spans="1:33" ht="51" x14ac:dyDescent="0.2">
      <c r="A530" s="5" t="str">
        <f>HYPERLINK("http://www.patentics.cn/invokexml.do?sf=ShowPatent&amp;spn=US9300511&amp;sv=dfde505403eaad00086d001a35bdc7e3","US9300511")</f>
        <v>US9300511</v>
      </c>
      <c r="B530" s="3" t="s">
        <v>2459</v>
      </c>
      <c r="C530" s="3" t="s">
        <v>2460</v>
      </c>
      <c r="D530" s="3" t="s">
        <v>52</v>
      </c>
      <c r="E530" s="3" t="s">
        <v>52</v>
      </c>
      <c r="F530" s="3" t="s">
        <v>2461</v>
      </c>
      <c r="G530" s="3" t="s">
        <v>2462</v>
      </c>
      <c r="H530" s="3" t="s">
        <v>2463</v>
      </c>
      <c r="I530" s="3" t="s">
        <v>2464</v>
      </c>
      <c r="J530" s="3" t="s">
        <v>2465</v>
      </c>
      <c r="K530" s="3" t="s">
        <v>58</v>
      </c>
      <c r="L530" s="3" t="s">
        <v>1779</v>
      </c>
      <c r="M530" s="3" t="s">
        <v>58</v>
      </c>
      <c r="N530" s="3" t="s">
        <v>2466</v>
      </c>
      <c r="O530" s="3">
        <v>0</v>
      </c>
      <c r="P530" s="3">
        <v>9</v>
      </c>
      <c r="Q530" s="3" t="s">
        <v>60</v>
      </c>
      <c r="R530" s="3" t="s">
        <v>61</v>
      </c>
      <c r="S530" s="3">
        <v>37</v>
      </c>
      <c r="T530" s="3">
        <v>8</v>
      </c>
      <c r="U530" s="3">
        <v>29</v>
      </c>
      <c r="V530" s="3">
        <v>15</v>
      </c>
      <c r="W530" s="3">
        <v>0</v>
      </c>
      <c r="X530" s="3" t="s">
        <v>147</v>
      </c>
      <c r="Y530" s="3">
        <v>0</v>
      </c>
      <c r="Z530" s="3">
        <v>0</v>
      </c>
      <c r="AA530" s="3">
        <v>0</v>
      </c>
      <c r="AB530" s="3">
        <v>0</v>
      </c>
      <c r="AC530" s="3">
        <v>2</v>
      </c>
      <c r="AD530" s="3">
        <v>2</v>
      </c>
      <c r="AE530" s="3">
        <v>14</v>
      </c>
      <c r="AF530" s="3" t="s">
        <v>0</v>
      </c>
      <c r="AG530" s="3" t="s">
        <v>49</v>
      </c>
    </row>
    <row r="531" spans="1:33" ht="165.75" x14ac:dyDescent="0.2">
      <c r="A531" s="5" t="str">
        <f>HYPERLINK("http://www.patentics.cn/invokexml.do?sf=ShowPatent&amp;spn=US9503931&amp;sv=cc88f5e572c2e780b6e0804649f69d89","US9503931")</f>
        <v>US9503931</v>
      </c>
      <c r="B531" s="3" t="s">
        <v>2467</v>
      </c>
      <c r="C531" s="3" t="s">
        <v>2468</v>
      </c>
      <c r="D531" s="3" t="s">
        <v>52</v>
      </c>
      <c r="E531" s="3" t="s">
        <v>52</v>
      </c>
      <c r="F531" s="3" t="s">
        <v>2469</v>
      </c>
      <c r="G531" s="3" t="s">
        <v>2470</v>
      </c>
      <c r="H531" s="3" t="s">
        <v>1176</v>
      </c>
      <c r="I531" s="3" t="s">
        <v>2471</v>
      </c>
      <c r="J531" s="3" t="s">
        <v>2472</v>
      </c>
      <c r="K531" s="3" t="s">
        <v>82</v>
      </c>
      <c r="L531" s="3" t="s">
        <v>1177</v>
      </c>
      <c r="M531" s="3" t="s">
        <v>82</v>
      </c>
      <c r="N531" s="3" t="s">
        <v>2473</v>
      </c>
      <c r="O531" s="3">
        <v>0</v>
      </c>
      <c r="P531" s="3">
        <v>6</v>
      </c>
      <c r="Q531" s="3" t="s">
        <v>60</v>
      </c>
      <c r="R531" s="3" t="s">
        <v>61</v>
      </c>
      <c r="S531" s="3">
        <v>40</v>
      </c>
      <c r="T531" s="3">
        <v>8</v>
      </c>
      <c r="U531" s="3">
        <v>32</v>
      </c>
      <c r="V531" s="3">
        <v>18</v>
      </c>
      <c r="W531" s="3">
        <v>0</v>
      </c>
      <c r="X531" s="3" t="s">
        <v>147</v>
      </c>
      <c r="Y531" s="3">
        <v>0</v>
      </c>
      <c r="Z531" s="3">
        <v>0</v>
      </c>
      <c r="AA531" s="3">
        <v>0</v>
      </c>
      <c r="AB531" s="3">
        <v>0</v>
      </c>
      <c r="AC531" s="3">
        <v>23</v>
      </c>
      <c r="AD531" s="3">
        <v>11</v>
      </c>
      <c r="AE531" s="3">
        <v>14</v>
      </c>
      <c r="AF531" s="3" t="s">
        <v>0</v>
      </c>
      <c r="AG531" s="3" t="s">
        <v>49</v>
      </c>
    </row>
    <row r="532" spans="1:33" ht="165.75" x14ac:dyDescent="0.2">
      <c r="A532" s="5" t="str">
        <f>HYPERLINK("http://www.patentics.cn/invokexml.do?sf=ShowPatent&amp;spn=US9503932&amp;sv=717344124368e36207e53ad8e27e7a16","US9503932")</f>
        <v>US9503932</v>
      </c>
      <c r="B532" s="3" t="s">
        <v>2474</v>
      </c>
      <c r="C532" s="3" t="s">
        <v>2468</v>
      </c>
      <c r="D532" s="3" t="s">
        <v>52</v>
      </c>
      <c r="E532" s="3" t="s">
        <v>52</v>
      </c>
      <c r="F532" s="3" t="s">
        <v>2475</v>
      </c>
      <c r="G532" s="3" t="s">
        <v>2470</v>
      </c>
      <c r="H532" s="3" t="s">
        <v>1176</v>
      </c>
      <c r="I532" s="3" t="s">
        <v>2476</v>
      </c>
      <c r="J532" s="3" t="s">
        <v>2472</v>
      </c>
      <c r="K532" s="3" t="s">
        <v>82</v>
      </c>
      <c r="L532" s="3" t="s">
        <v>1177</v>
      </c>
      <c r="M532" s="3" t="s">
        <v>82</v>
      </c>
      <c r="N532" s="3" t="s">
        <v>2473</v>
      </c>
      <c r="O532" s="3">
        <v>0</v>
      </c>
      <c r="P532" s="3">
        <v>8</v>
      </c>
      <c r="Q532" s="3" t="s">
        <v>60</v>
      </c>
      <c r="R532" s="3" t="s">
        <v>61</v>
      </c>
      <c r="S532" s="3">
        <v>40</v>
      </c>
      <c r="T532" s="3">
        <v>8</v>
      </c>
      <c r="U532" s="3">
        <v>32</v>
      </c>
      <c r="V532" s="3">
        <v>18</v>
      </c>
      <c r="W532" s="3">
        <v>0</v>
      </c>
      <c r="X532" s="3" t="s">
        <v>147</v>
      </c>
      <c r="Y532" s="3">
        <v>0</v>
      </c>
      <c r="Z532" s="3">
        <v>0</v>
      </c>
      <c r="AA532" s="3">
        <v>0</v>
      </c>
      <c r="AB532" s="3">
        <v>0</v>
      </c>
      <c r="AC532" s="3">
        <v>23</v>
      </c>
      <c r="AD532" s="3">
        <v>11</v>
      </c>
      <c r="AE532" s="3">
        <v>14</v>
      </c>
      <c r="AF532" s="3" t="s">
        <v>0</v>
      </c>
      <c r="AG532" s="3" t="s">
        <v>49</v>
      </c>
    </row>
    <row r="533" spans="1:33" ht="38.25" x14ac:dyDescent="0.2">
      <c r="A533" s="5" t="str">
        <f>HYPERLINK("http://www.patentics.cn/invokexml.do?sf=ShowPatent&amp;spn=CN102549938B&amp;sv=5cdfe8e2afd693fe3c02fa2a72e05624","CN102549938B")</f>
        <v>CN102549938B</v>
      </c>
      <c r="B533" s="3" t="s">
        <v>2477</v>
      </c>
      <c r="C533" s="3" t="s">
        <v>2478</v>
      </c>
      <c r="D533" s="3" t="s">
        <v>338</v>
      </c>
      <c r="E533" s="3" t="s">
        <v>338</v>
      </c>
      <c r="F533" s="3" t="s">
        <v>2479</v>
      </c>
      <c r="G533" s="3" t="s">
        <v>2480</v>
      </c>
      <c r="H533" s="3" t="s">
        <v>2481</v>
      </c>
      <c r="I533" s="3" t="s">
        <v>2471</v>
      </c>
      <c r="J533" s="3" t="s">
        <v>2482</v>
      </c>
      <c r="K533" s="3" t="s">
        <v>84</v>
      </c>
      <c r="L533" s="3" t="s">
        <v>343</v>
      </c>
      <c r="M533" s="3" t="s">
        <v>0</v>
      </c>
      <c r="N533" s="3" t="s">
        <v>0</v>
      </c>
      <c r="O533" s="3">
        <v>27</v>
      </c>
      <c r="P533" s="3">
        <v>12</v>
      </c>
      <c r="Q533" s="3" t="s">
        <v>60</v>
      </c>
      <c r="R533" s="3" t="s">
        <v>61</v>
      </c>
      <c r="S533" s="3">
        <v>4</v>
      </c>
      <c r="T533" s="3">
        <v>0</v>
      </c>
      <c r="U533" s="3">
        <v>4</v>
      </c>
      <c r="V533" s="3">
        <v>2</v>
      </c>
      <c r="W533" s="3">
        <v>8</v>
      </c>
      <c r="X533" s="3" t="s">
        <v>147</v>
      </c>
      <c r="Y533" s="3">
        <v>0</v>
      </c>
      <c r="Z533" s="3">
        <v>8</v>
      </c>
      <c r="AA533" s="3">
        <v>0</v>
      </c>
      <c r="AB533" s="3">
        <v>1</v>
      </c>
      <c r="AC533" s="3">
        <v>10</v>
      </c>
      <c r="AD533" s="3">
        <v>7</v>
      </c>
      <c r="AE533" s="3">
        <v>14</v>
      </c>
      <c r="AF533" s="3" t="s">
        <v>0</v>
      </c>
      <c r="AG533" s="3" t="s">
        <v>49</v>
      </c>
    </row>
    <row r="534" spans="1:33" ht="63.75" x14ac:dyDescent="0.2">
      <c r="A534" s="5" t="str">
        <f>HYPERLINK("http://www.patentics.cn/invokexml.do?sf=ShowPatent&amp;spn=CN102474492B&amp;sv=8e985b2f12af653d1c071109be72646c","CN102474492B")</f>
        <v>CN102474492B</v>
      </c>
      <c r="B534" s="3" t="s">
        <v>2483</v>
      </c>
      <c r="C534" s="3" t="s">
        <v>2484</v>
      </c>
      <c r="D534" s="3" t="s">
        <v>338</v>
      </c>
      <c r="E534" s="3" t="s">
        <v>338</v>
      </c>
      <c r="F534" s="3" t="s">
        <v>2485</v>
      </c>
      <c r="G534" s="3" t="s">
        <v>2486</v>
      </c>
      <c r="H534" s="3" t="s">
        <v>1176</v>
      </c>
      <c r="I534" s="3" t="s">
        <v>1443</v>
      </c>
      <c r="J534" s="3" t="s">
        <v>2487</v>
      </c>
      <c r="K534" s="3" t="s">
        <v>58</v>
      </c>
      <c r="L534" s="3" t="s">
        <v>326</v>
      </c>
      <c r="M534" s="3" t="s">
        <v>0</v>
      </c>
      <c r="N534" s="3" t="s">
        <v>0</v>
      </c>
      <c r="O534" s="3">
        <v>71</v>
      </c>
      <c r="P534" s="3">
        <v>11</v>
      </c>
      <c r="Q534" s="3" t="s">
        <v>60</v>
      </c>
      <c r="R534" s="3" t="s">
        <v>61</v>
      </c>
      <c r="S534" s="3">
        <v>2</v>
      </c>
      <c r="T534" s="3">
        <v>1</v>
      </c>
      <c r="U534" s="3">
        <v>1</v>
      </c>
      <c r="V534" s="3">
        <v>2</v>
      </c>
      <c r="W534" s="3">
        <v>0</v>
      </c>
      <c r="X534" s="3" t="s">
        <v>147</v>
      </c>
      <c r="Y534" s="3">
        <v>0</v>
      </c>
      <c r="Z534" s="3">
        <v>0</v>
      </c>
      <c r="AA534" s="3">
        <v>0</v>
      </c>
      <c r="AB534" s="3">
        <v>0</v>
      </c>
      <c r="AC534" s="3">
        <v>23</v>
      </c>
      <c r="AD534" s="3">
        <v>11</v>
      </c>
      <c r="AE534" s="3">
        <v>14</v>
      </c>
      <c r="AF534" s="3" t="s">
        <v>0</v>
      </c>
      <c r="AG534" s="3" t="s">
        <v>49</v>
      </c>
    </row>
    <row r="535" spans="1:33" ht="38.25" x14ac:dyDescent="0.2">
      <c r="A535" s="4" t="str">
        <f>HYPERLINK("http://www.patentics.cn/invokexml.do?sf=ShowPatent&amp;spn=CN101340228&amp;sv=8ea24e946f04d50205cbef518afbde88","CN101340228")</f>
        <v>CN101340228</v>
      </c>
      <c r="B535" s="2" t="s">
        <v>2488</v>
      </c>
      <c r="C535" s="2" t="s">
        <v>2489</v>
      </c>
      <c r="D535" s="2" t="s">
        <v>38</v>
      </c>
      <c r="E535" s="2" t="s">
        <v>38</v>
      </c>
      <c r="F535" s="2" t="s">
        <v>2490</v>
      </c>
      <c r="G535" s="2" t="s">
        <v>2491</v>
      </c>
      <c r="H535" s="2" t="s">
        <v>1197</v>
      </c>
      <c r="I535" s="2" t="s">
        <v>1197</v>
      </c>
      <c r="J535" s="2" t="s">
        <v>2492</v>
      </c>
      <c r="K535" s="2" t="s">
        <v>84</v>
      </c>
      <c r="L535" s="2" t="s">
        <v>343</v>
      </c>
      <c r="M535" s="2" t="s">
        <v>0</v>
      </c>
      <c r="N535" s="2" t="s">
        <v>0</v>
      </c>
      <c r="O535" s="2">
        <v>14</v>
      </c>
      <c r="P535" s="2">
        <v>15</v>
      </c>
      <c r="Q535" s="2" t="s">
        <v>46</v>
      </c>
      <c r="R535" s="2" t="s">
        <v>47</v>
      </c>
      <c r="S535" s="2">
        <v>0</v>
      </c>
      <c r="T535" s="2">
        <v>0</v>
      </c>
      <c r="U535" s="2">
        <v>0</v>
      </c>
      <c r="V535" s="2">
        <v>0</v>
      </c>
      <c r="W535" s="2">
        <v>27</v>
      </c>
      <c r="X535" s="2" t="s">
        <v>2493</v>
      </c>
      <c r="Y535" s="2">
        <v>6</v>
      </c>
      <c r="Z535" s="2">
        <v>21</v>
      </c>
      <c r="AA535" s="2">
        <v>7</v>
      </c>
      <c r="AB535" s="2">
        <v>4</v>
      </c>
      <c r="AC535" s="2">
        <v>1</v>
      </c>
      <c r="AD535" s="2">
        <v>1</v>
      </c>
      <c r="AE535" s="2" t="s">
        <v>0</v>
      </c>
      <c r="AF535" s="2">
        <v>5</v>
      </c>
      <c r="AG535" s="2" t="s">
        <v>49</v>
      </c>
    </row>
    <row r="536" spans="1:33" ht="51" x14ac:dyDescent="0.2">
      <c r="A536" s="5" t="str">
        <f>HYPERLINK("http://www.patentics.cn/invokexml.do?sf=ShowPatent&amp;spn=US8923905&amp;sv=7c84e992d24107676c67dff44ab39d79","US8923905")</f>
        <v>US8923905</v>
      </c>
      <c r="B536" s="3" t="s">
        <v>2494</v>
      </c>
      <c r="C536" s="3" t="s">
        <v>2495</v>
      </c>
      <c r="D536" s="3" t="s">
        <v>52</v>
      </c>
      <c r="E536" s="3" t="s">
        <v>52</v>
      </c>
      <c r="F536" s="3" t="s">
        <v>2496</v>
      </c>
      <c r="G536" s="3" t="s">
        <v>949</v>
      </c>
      <c r="H536" s="3" t="s">
        <v>2497</v>
      </c>
      <c r="I536" s="3" t="s">
        <v>1594</v>
      </c>
      <c r="J536" s="3" t="s">
        <v>2248</v>
      </c>
      <c r="K536" s="3" t="s">
        <v>84</v>
      </c>
      <c r="L536" s="3" t="s">
        <v>163</v>
      </c>
      <c r="M536" s="3" t="s">
        <v>84</v>
      </c>
      <c r="N536" s="3" t="s">
        <v>2498</v>
      </c>
      <c r="O536" s="3">
        <v>0</v>
      </c>
      <c r="P536" s="3">
        <v>11</v>
      </c>
      <c r="Q536" s="3" t="s">
        <v>60</v>
      </c>
      <c r="R536" s="3" t="s">
        <v>61</v>
      </c>
      <c r="S536" s="3">
        <v>49</v>
      </c>
      <c r="T536" s="3">
        <v>10</v>
      </c>
      <c r="U536" s="3">
        <v>39</v>
      </c>
      <c r="V536" s="3">
        <v>18</v>
      </c>
      <c r="W536" s="3">
        <v>11</v>
      </c>
      <c r="X536" s="3" t="s">
        <v>2499</v>
      </c>
      <c r="Y536" s="3">
        <v>2</v>
      </c>
      <c r="Z536" s="3">
        <v>9</v>
      </c>
      <c r="AA536" s="3">
        <v>5</v>
      </c>
      <c r="AB536" s="3">
        <v>1</v>
      </c>
      <c r="AC536" s="3">
        <v>16</v>
      </c>
      <c r="AD536" s="3">
        <v>7</v>
      </c>
      <c r="AE536" s="3">
        <v>14</v>
      </c>
      <c r="AF536" s="3" t="s">
        <v>0</v>
      </c>
      <c r="AG536" s="3" t="s">
        <v>49</v>
      </c>
    </row>
    <row r="537" spans="1:33" ht="165.75" x14ac:dyDescent="0.2">
      <c r="A537" s="5" t="str">
        <f>HYPERLINK("http://www.patentics.cn/invokexml.do?sf=ShowPatent&amp;spn=US8948097&amp;sv=1fa361c8a24aa8d1a494ef79f9dc4856","US8948097")</f>
        <v>US8948097</v>
      </c>
      <c r="B537" s="3" t="s">
        <v>2500</v>
      </c>
      <c r="C537" s="3" t="s">
        <v>2501</v>
      </c>
      <c r="D537" s="3" t="s">
        <v>52</v>
      </c>
      <c r="E537" s="3" t="s">
        <v>52</v>
      </c>
      <c r="F537" s="3" t="s">
        <v>2502</v>
      </c>
      <c r="G537" s="3" t="s">
        <v>1091</v>
      </c>
      <c r="H537" s="3" t="s">
        <v>2497</v>
      </c>
      <c r="I537" s="3" t="s">
        <v>2503</v>
      </c>
      <c r="J537" s="3" t="s">
        <v>2504</v>
      </c>
      <c r="K537" s="3" t="s">
        <v>82</v>
      </c>
      <c r="L537" s="3" t="s">
        <v>83</v>
      </c>
      <c r="M537" s="3" t="s">
        <v>70</v>
      </c>
      <c r="N537" s="3" t="s">
        <v>2505</v>
      </c>
      <c r="O537" s="3">
        <v>0</v>
      </c>
      <c r="P537" s="3">
        <v>15</v>
      </c>
      <c r="Q537" s="3" t="s">
        <v>60</v>
      </c>
      <c r="R537" s="3" t="s">
        <v>61</v>
      </c>
      <c r="S537" s="3">
        <v>48</v>
      </c>
      <c r="T537" s="3">
        <v>9</v>
      </c>
      <c r="U537" s="3">
        <v>39</v>
      </c>
      <c r="V537" s="3">
        <v>18</v>
      </c>
      <c r="W537" s="3">
        <v>3</v>
      </c>
      <c r="X537" s="3" t="s">
        <v>378</v>
      </c>
      <c r="Y537" s="3">
        <v>2</v>
      </c>
      <c r="Z537" s="3">
        <v>1</v>
      </c>
      <c r="AA537" s="3">
        <v>2</v>
      </c>
      <c r="AB537" s="3">
        <v>1</v>
      </c>
      <c r="AC537" s="3">
        <v>10</v>
      </c>
      <c r="AD537" s="3">
        <v>7</v>
      </c>
      <c r="AE537" s="3">
        <v>14</v>
      </c>
      <c r="AF537" s="3" t="s">
        <v>0</v>
      </c>
      <c r="AG537" s="3" t="s">
        <v>49</v>
      </c>
    </row>
    <row r="538" spans="1:33" ht="89.25" x14ac:dyDescent="0.2">
      <c r="A538" s="5" t="str">
        <f>HYPERLINK("http://www.patentics.cn/invokexml.do?sf=ShowPatent&amp;spn=US9432164&amp;sv=01ab586005d9f59585e134ce978e9a2b","US9432164")</f>
        <v>US9432164</v>
      </c>
      <c r="B538" s="3" t="s">
        <v>2506</v>
      </c>
      <c r="C538" s="3" t="s">
        <v>2507</v>
      </c>
      <c r="D538" s="3" t="s">
        <v>52</v>
      </c>
      <c r="E538" s="3" t="s">
        <v>52</v>
      </c>
      <c r="F538" s="3" t="s">
        <v>2508</v>
      </c>
      <c r="G538" s="3" t="s">
        <v>1091</v>
      </c>
      <c r="H538" s="3" t="s">
        <v>0</v>
      </c>
      <c r="I538" s="3" t="s">
        <v>951</v>
      </c>
      <c r="J538" s="3" t="s">
        <v>718</v>
      </c>
      <c r="K538" s="3" t="s">
        <v>84</v>
      </c>
      <c r="L538" s="3" t="s">
        <v>234</v>
      </c>
      <c r="M538" s="3" t="s">
        <v>58</v>
      </c>
      <c r="N538" s="3" t="s">
        <v>2509</v>
      </c>
      <c r="O538" s="3">
        <v>0</v>
      </c>
      <c r="P538" s="3">
        <v>20</v>
      </c>
      <c r="Q538" s="3" t="s">
        <v>60</v>
      </c>
      <c r="R538" s="3" t="s">
        <v>61</v>
      </c>
      <c r="S538" s="3">
        <v>60</v>
      </c>
      <c r="T538" s="3">
        <v>12</v>
      </c>
      <c r="U538" s="3">
        <v>48</v>
      </c>
      <c r="V538" s="3">
        <v>21</v>
      </c>
      <c r="W538" s="3">
        <v>0</v>
      </c>
      <c r="X538" s="3" t="s">
        <v>147</v>
      </c>
      <c r="Y538" s="3">
        <v>0</v>
      </c>
      <c r="Z538" s="3">
        <v>0</v>
      </c>
      <c r="AA538" s="3">
        <v>0</v>
      </c>
      <c r="AB538" s="3">
        <v>0</v>
      </c>
      <c r="AC538" s="3">
        <v>0</v>
      </c>
      <c r="AD538" s="3">
        <v>0</v>
      </c>
      <c r="AE538" s="3">
        <v>14</v>
      </c>
      <c r="AF538" s="3" t="s">
        <v>0</v>
      </c>
      <c r="AG538" s="3" t="s">
        <v>49</v>
      </c>
    </row>
    <row r="539" spans="1:33" ht="51" x14ac:dyDescent="0.2">
      <c r="A539" s="5" t="str">
        <f>HYPERLINK("http://www.patentics.cn/invokexml.do?sf=ShowPatent&amp;spn=US9496978&amp;sv=f3b83196674f64a96ea440251529eba3","US9496978")</f>
        <v>US9496978</v>
      </c>
      <c r="B539" s="3" t="s">
        <v>2510</v>
      </c>
      <c r="C539" s="3" t="s">
        <v>2495</v>
      </c>
      <c r="D539" s="3" t="s">
        <v>52</v>
      </c>
      <c r="E539" s="3" t="s">
        <v>52</v>
      </c>
      <c r="F539" s="3" t="s">
        <v>2496</v>
      </c>
      <c r="G539" s="3" t="s">
        <v>949</v>
      </c>
      <c r="H539" s="3" t="s">
        <v>2497</v>
      </c>
      <c r="I539" s="3" t="s">
        <v>2511</v>
      </c>
      <c r="J539" s="3" t="s">
        <v>1677</v>
      </c>
      <c r="K539" s="3" t="s">
        <v>84</v>
      </c>
      <c r="L539" s="3" t="s">
        <v>114</v>
      </c>
      <c r="M539" s="3" t="s">
        <v>70</v>
      </c>
      <c r="N539" s="3" t="s">
        <v>2512</v>
      </c>
      <c r="O539" s="3">
        <v>0</v>
      </c>
      <c r="P539" s="3">
        <v>12</v>
      </c>
      <c r="Q539" s="3" t="s">
        <v>60</v>
      </c>
      <c r="R539" s="3" t="s">
        <v>61</v>
      </c>
      <c r="S539" s="3">
        <v>61</v>
      </c>
      <c r="T539" s="3">
        <v>13</v>
      </c>
      <c r="U539" s="3">
        <v>48</v>
      </c>
      <c r="V539" s="3">
        <v>22</v>
      </c>
      <c r="W539" s="3">
        <v>0</v>
      </c>
      <c r="X539" s="3" t="s">
        <v>147</v>
      </c>
      <c r="Y539" s="3">
        <v>0</v>
      </c>
      <c r="Z539" s="3">
        <v>0</v>
      </c>
      <c r="AA539" s="3">
        <v>0</v>
      </c>
      <c r="AB539" s="3">
        <v>0</v>
      </c>
      <c r="AC539" s="3">
        <v>16</v>
      </c>
      <c r="AD539" s="3">
        <v>7</v>
      </c>
      <c r="AE539" s="3">
        <v>14</v>
      </c>
      <c r="AF539" s="3" t="s">
        <v>0</v>
      </c>
      <c r="AG539" s="3" t="s">
        <v>49</v>
      </c>
    </row>
    <row r="540" spans="1:33" ht="38.25" x14ac:dyDescent="0.2">
      <c r="A540" s="5" t="str">
        <f>HYPERLINK("http://www.patentics.cn/invokexml.do?sf=ShowPatent&amp;spn=CN102742208B&amp;sv=b7e58680b571281741fdbd60db30e0bc","CN102742208B")</f>
        <v>CN102742208B</v>
      </c>
      <c r="B540" s="3" t="s">
        <v>2513</v>
      </c>
      <c r="C540" s="3" t="s">
        <v>2514</v>
      </c>
      <c r="D540" s="3" t="s">
        <v>338</v>
      </c>
      <c r="E540" s="3" t="s">
        <v>338</v>
      </c>
      <c r="F540" s="3" t="s">
        <v>2515</v>
      </c>
      <c r="G540" s="3" t="s">
        <v>1190</v>
      </c>
      <c r="H540" s="3" t="s">
        <v>950</v>
      </c>
      <c r="I540" s="3" t="s">
        <v>995</v>
      </c>
      <c r="J540" s="3" t="s">
        <v>2516</v>
      </c>
      <c r="K540" s="3" t="s">
        <v>58</v>
      </c>
      <c r="L540" s="3" t="s">
        <v>188</v>
      </c>
      <c r="M540" s="3" t="s">
        <v>0</v>
      </c>
      <c r="N540" s="3" t="s">
        <v>0</v>
      </c>
      <c r="O540" s="3">
        <v>42</v>
      </c>
      <c r="P540" s="3">
        <v>16</v>
      </c>
      <c r="Q540" s="3" t="s">
        <v>60</v>
      </c>
      <c r="R540" s="3" t="s">
        <v>61</v>
      </c>
      <c r="S540" s="3">
        <v>2</v>
      </c>
      <c r="T540" s="3">
        <v>1</v>
      </c>
      <c r="U540" s="3">
        <v>1</v>
      </c>
      <c r="V540" s="3">
        <v>2</v>
      </c>
      <c r="W540" s="3">
        <v>0</v>
      </c>
      <c r="X540" s="3" t="s">
        <v>147</v>
      </c>
      <c r="Y540" s="3">
        <v>0</v>
      </c>
      <c r="Z540" s="3">
        <v>0</v>
      </c>
      <c r="AA540" s="3">
        <v>0</v>
      </c>
      <c r="AB540" s="3">
        <v>0</v>
      </c>
      <c r="AC540" s="3">
        <v>0</v>
      </c>
      <c r="AD540" s="3">
        <v>0</v>
      </c>
      <c r="AE540" s="3">
        <v>14</v>
      </c>
      <c r="AF540" s="3" t="s">
        <v>0</v>
      </c>
      <c r="AG540" s="3" t="s">
        <v>49</v>
      </c>
    </row>
    <row r="541" spans="1:33" ht="25.5" x14ac:dyDescent="0.2">
      <c r="A541" s="4" t="str">
        <f>HYPERLINK("http://www.patentics.cn/invokexml.do?sf=ShowPatent&amp;spn=CN101175024&amp;sv=87de8804deec6c46eff2a22d441eb00b","CN101175024")</f>
        <v>CN101175024</v>
      </c>
      <c r="B541" s="2" t="s">
        <v>2517</v>
      </c>
      <c r="C541" s="2" t="s">
        <v>2518</v>
      </c>
      <c r="D541" s="2" t="s">
        <v>38</v>
      </c>
      <c r="E541" s="2" t="s">
        <v>38</v>
      </c>
      <c r="F541" s="2" t="s">
        <v>2519</v>
      </c>
      <c r="G541" s="2" t="s">
        <v>2519</v>
      </c>
      <c r="H541" s="2" t="s">
        <v>0</v>
      </c>
      <c r="I541" s="2" t="s">
        <v>2520</v>
      </c>
      <c r="J541" s="2" t="s">
        <v>2521</v>
      </c>
      <c r="K541" s="2" t="s">
        <v>58</v>
      </c>
      <c r="L541" s="2" t="s">
        <v>1236</v>
      </c>
      <c r="M541" s="2" t="s">
        <v>58</v>
      </c>
      <c r="N541" s="2" t="s">
        <v>1785</v>
      </c>
      <c r="O541" s="2">
        <v>6</v>
      </c>
      <c r="P541" s="2">
        <v>16</v>
      </c>
      <c r="Q541" s="2" t="s">
        <v>46</v>
      </c>
      <c r="R541" s="2" t="s">
        <v>47</v>
      </c>
      <c r="S541" s="2">
        <v>0</v>
      </c>
      <c r="T541" s="2">
        <v>0</v>
      </c>
      <c r="U541" s="2">
        <v>0</v>
      </c>
      <c r="V541" s="2">
        <v>0</v>
      </c>
      <c r="W541" s="2">
        <v>5</v>
      </c>
      <c r="X541" s="2" t="s">
        <v>2522</v>
      </c>
      <c r="Y541" s="2">
        <v>0</v>
      </c>
      <c r="Z541" s="2">
        <v>5</v>
      </c>
      <c r="AA541" s="2">
        <v>1</v>
      </c>
      <c r="AB541" s="2">
        <v>2</v>
      </c>
      <c r="AC541" s="2">
        <v>0</v>
      </c>
      <c r="AD541" s="2">
        <v>0</v>
      </c>
      <c r="AE541" s="2" t="s">
        <v>0</v>
      </c>
      <c r="AF541" s="2">
        <v>5</v>
      </c>
      <c r="AG541" s="2" t="s">
        <v>2523</v>
      </c>
    </row>
    <row r="542" spans="1:33" ht="51" x14ac:dyDescent="0.2">
      <c r="A542" s="5" t="str">
        <f>HYPERLINK("http://www.patentics.cn/invokexml.do?sf=ShowPatent&amp;spn=US8638699&amp;sv=b97afd3de87ccc19bb0c08fbec0c4937","US8638699")</f>
        <v>US8638699</v>
      </c>
      <c r="B542" s="3" t="s">
        <v>2524</v>
      </c>
      <c r="C542" s="3" t="s">
        <v>2525</v>
      </c>
      <c r="D542" s="3" t="s">
        <v>52</v>
      </c>
      <c r="E542" s="3" t="s">
        <v>52</v>
      </c>
      <c r="F542" s="3" t="s">
        <v>2526</v>
      </c>
      <c r="G542" s="3" t="s">
        <v>2527</v>
      </c>
      <c r="H542" s="3" t="s">
        <v>2528</v>
      </c>
      <c r="I542" s="3" t="s">
        <v>2529</v>
      </c>
      <c r="J542" s="3" t="s">
        <v>892</v>
      </c>
      <c r="K542" s="3" t="s">
        <v>84</v>
      </c>
      <c r="L542" s="3" t="s">
        <v>163</v>
      </c>
      <c r="M542" s="3" t="s">
        <v>82</v>
      </c>
      <c r="N542" s="3" t="s">
        <v>2473</v>
      </c>
      <c r="O542" s="3">
        <v>0</v>
      </c>
      <c r="P542" s="3">
        <v>16</v>
      </c>
      <c r="Q542" s="3" t="s">
        <v>60</v>
      </c>
      <c r="R542" s="3" t="s">
        <v>61</v>
      </c>
      <c r="S542" s="3">
        <v>35</v>
      </c>
      <c r="T542" s="3">
        <v>5</v>
      </c>
      <c r="U542" s="3">
        <v>30</v>
      </c>
      <c r="V542" s="3">
        <v>19</v>
      </c>
      <c r="W542" s="3">
        <v>8</v>
      </c>
      <c r="X542" s="3" t="s">
        <v>1884</v>
      </c>
      <c r="Y542" s="3">
        <v>2</v>
      </c>
      <c r="Z542" s="3">
        <v>6</v>
      </c>
      <c r="AA542" s="3">
        <v>1</v>
      </c>
      <c r="AB542" s="3">
        <v>2</v>
      </c>
      <c r="AC542" s="3">
        <v>14</v>
      </c>
      <c r="AD542" s="3">
        <v>7</v>
      </c>
      <c r="AE542" s="3">
        <v>14</v>
      </c>
      <c r="AF542" s="3" t="s">
        <v>0</v>
      </c>
      <c r="AG542" s="3" t="s">
        <v>49</v>
      </c>
    </row>
    <row r="543" spans="1:33" ht="51" x14ac:dyDescent="0.2">
      <c r="A543" s="5" t="str">
        <f>HYPERLINK("http://www.patentics.cn/invokexml.do?sf=ShowPatent&amp;spn=US8644338&amp;sv=1bd6fa97fb03c1c33c0bc924e2f4a715","US8644338")</f>
        <v>US8644338</v>
      </c>
      <c r="B543" s="3" t="s">
        <v>2530</v>
      </c>
      <c r="C543" s="3" t="s">
        <v>2531</v>
      </c>
      <c r="D543" s="3" t="s">
        <v>52</v>
      </c>
      <c r="E543" s="3" t="s">
        <v>52</v>
      </c>
      <c r="F543" s="3" t="s">
        <v>2532</v>
      </c>
      <c r="G543" s="3" t="s">
        <v>2533</v>
      </c>
      <c r="H543" s="3" t="s">
        <v>2492</v>
      </c>
      <c r="I543" s="3" t="s">
        <v>2534</v>
      </c>
      <c r="J543" s="3" t="s">
        <v>152</v>
      </c>
      <c r="K543" s="3" t="s">
        <v>70</v>
      </c>
      <c r="L543" s="3" t="s">
        <v>2535</v>
      </c>
      <c r="M543" s="3" t="s">
        <v>82</v>
      </c>
      <c r="N543" s="3" t="s">
        <v>2473</v>
      </c>
      <c r="O543" s="3">
        <v>0</v>
      </c>
      <c r="P543" s="3">
        <v>8</v>
      </c>
      <c r="Q543" s="3" t="s">
        <v>60</v>
      </c>
      <c r="R543" s="3" t="s">
        <v>61</v>
      </c>
      <c r="S543" s="3">
        <v>35</v>
      </c>
      <c r="T543" s="3">
        <v>5</v>
      </c>
      <c r="U543" s="3">
        <v>30</v>
      </c>
      <c r="V543" s="3">
        <v>19</v>
      </c>
      <c r="W543" s="3">
        <v>0</v>
      </c>
      <c r="X543" s="3" t="s">
        <v>147</v>
      </c>
      <c r="Y543" s="3">
        <v>0</v>
      </c>
      <c r="Z543" s="3">
        <v>0</v>
      </c>
      <c r="AA543" s="3">
        <v>0</v>
      </c>
      <c r="AB543" s="3">
        <v>0</v>
      </c>
      <c r="AC543" s="3">
        <v>8</v>
      </c>
      <c r="AD543" s="3">
        <v>7</v>
      </c>
      <c r="AE543" s="3">
        <v>14</v>
      </c>
      <c r="AF543" s="3" t="s">
        <v>0</v>
      </c>
      <c r="AG543" s="3" t="s">
        <v>49</v>
      </c>
    </row>
    <row r="544" spans="1:33" ht="51" x14ac:dyDescent="0.2">
      <c r="A544" s="5" t="str">
        <f>HYPERLINK("http://www.patentics.cn/invokexml.do?sf=ShowPatent&amp;spn=US8711881&amp;sv=ca01f3f60441bf766b773a09997691a7","US8711881")</f>
        <v>US8711881</v>
      </c>
      <c r="B544" s="3" t="s">
        <v>2536</v>
      </c>
      <c r="C544" s="3" t="s">
        <v>2537</v>
      </c>
      <c r="D544" s="3" t="s">
        <v>52</v>
      </c>
      <c r="E544" s="3" t="s">
        <v>52</v>
      </c>
      <c r="F544" s="3" t="s">
        <v>2538</v>
      </c>
      <c r="G544" s="3" t="s">
        <v>2539</v>
      </c>
      <c r="H544" s="3" t="s">
        <v>2492</v>
      </c>
      <c r="I544" s="3" t="s">
        <v>2534</v>
      </c>
      <c r="J544" s="3" t="s">
        <v>476</v>
      </c>
      <c r="K544" s="3" t="s">
        <v>70</v>
      </c>
      <c r="L544" s="3" t="s">
        <v>2540</v>
      </c>
      <c r="M544" s="3" t="s">
        <v>82</v>
      </c>
      <c r="N544" s="3" t="s">
        <v>2473</v>
      </c>
      <c r="O544" s="3">
        <v>0</v>
      </c>
      <c r="P544" s="3">
        <v>16</v>
      </c>
      <c r="Q544" s="3" t="s">
        <v>60</v>
      </c>
      <c r="R544" s="3" t="s">
        <v>61</v>
      </c>
      <c r="S544" s="3">
        <v>35</v>
      </c>
      <c r="T544" s="3">
        <v>5</v>
      </c>
      <c r="U544" s="3">
        <v>30</v>
      </c>
      <c r="V544" s="3">
        <v>19</v>
      </c>
      <c r="W544" s="3">
        <v>0</v>
      </c>
      <c r="X544" s="3" t="s">
        <v>147</v>
      </c>
      <c r="Y544" s="3">
        <v>0</v>
      </c>
      <c r="Z544" s="3">
        <v>0</v>
      </c>
      <c r="AA544" s="3">
        <v>0</v>
      </c>
      <c r="AB544" s="3">
        <v>0</v>
      </c>
      <c r="AC544" s="3">
        <v>3</v>
      </c>
      <c r="AD544" s="3">
        <v>3</v>
      </c>
      <c r="AE544" s="3">
        <v>14</v>
      </c>
      <c r="AF544" s="3" t="s">
        <v>0</v>
      </c>
      <c r="AG544" s="3" t="s">
        <v>49</v>
      </c>
    </row>
    <row r="545" spans="1:33" ht="51" x14ac:dyDescent="0.2">
      <c r="A545" s="5" t="str">
        <f>HYPERLINK("http://www.patentics.cn/invokexml.do?sf=ShowPatent&amp;spn=US9326191&amp;sv=888520c2063fb5830a198ed007b20613","US9326191")</f>
        <v>US9326191</v>
      </c>
      <c r="B545" s="3" t="s">
        <v>2541</v>
      </c>
      <c r="C545" s="3" t="s">
        <v>2525</v>
      </c>
      <c r="D545" s="3" t="s">
        <v>52</v>
      </c>
      <c r="E545" s="3" t="s">
        <v>52</v>
      </c>
      <c r="F545" s="3" t="s">
        <v>2526</v>
      </c>
      <c r="G545" s="3" t="s">
        <v>2527</v>
      </c>
      <c r="H545" s="3" t="s">
        <v>2528</v>
      </c>
      <c r="I545" s="3" t="s">
        <v>2542</v>
      </c>
      <c r="J545" s="3" t="s">
        <v>2543</v>
      </c>
      <c r="K545" s="3" t="s">
        <v>82</v>
      </c>
      <c r="L545" s="3" t="s">
        <v>2544</v>
      </c>
      <c r="M545" s="3" t="s">
        <v>82</v>
      </c>
      <c r="N545" s="3" t="s">
        <v>2473</v>
      </c>
      <c r="O545" s="3">
        <v>0</v>
      </c>
      <c r="P545" s="3">
        <v>20</v>
      </c>
      <c r="Q545" s="3" t="s">
        <v>60</v>
      </c>
      <c r="R545" s="3" t="s">
        <v>61</v>
      </c>
      <c r="S545" s="3">
        <v>38</v>
      </c>
      <c r="T545" s="3">
        <v>7</v>
      </c>
      <c r="U545" s="3">
        <v>31</v>
      </c>
      <c r="V545" s="3">
        <v>19</v>
      </c>
      <c r="W545" s="3">
        <v>6</v>
      </c>
      <c r="X545" s="3" t="s">
        <v>147</v>
      </c>
      <c r="Y545" s="3">
        <v>0</v>
      </c>
      <c r="Z545" s="3">
        <v>6</v>
      </c>
      <c r="AA545" s="3">
        <v>0</v>
      </c>
      <c r="AB545" s="3">
        <v>1</v>
      </c>
      <c r="AC545" s="3">
        <v>14</v>
      </c>
      <c r="AD545" s="3">
        <v>7</v>
      </c>
      <c r="AE545" s="3">
        <v>14</v>
      </c>
      <c r="AF545" s="3" t="s">
        <v>0</v>
      </c>
      <c r="AG545" s="3" t="s">
        <v>49</v>
      </c>
    </row>
    <row r="546" spans="1:33" ht="25.5" x14ac:dyDescent="0.2">
      <c r="A546" s="5" t="str">
        <f>HYPERLINK("http://www.patentics.cn/invokexml.do?sf=ShowPatent&amp;spn=CN102273256B&amp;sv=a453aa8afe16eaf7098ba2e0bcb978ee","CN102273256B")</f>
        <v>CN102273256B</v>
      </c>
      <c r="B546" s="3" t="s">
        <v>2545</v>
      </c>
      <c r="C546" s="3" t="s">
        <v>2546</v>
      </c>
      <c r="D546" s="3" t="s">
        <v>338</v>
      </c>
      <c r="E546" s="3" t="s">
        <v>338</v>
      </c>
      <c r="F546" s="3" t="s">
        <v>2547</v>
      </c>
      <c r="G546" s="3" t="s">
        <v>2548</v>
      </c>
      <c r="H546" s="3" t="s">
        <v>2528</v>
      </c>
      <c r="I546" s="3" t="s">
        <v>2549</v>
      </c>
      <c r="J546" s="3" t="s">
        <v>1766</v>
      </c>
      <c r="K546" s="3" t="s">
        <v>82</v>
      </c>
      <c r="L546" s="3" t="s">
        <v>1177</v>
      </c>
      <c r="M546" s="3" t="s">
        <v>0</v>
      </c>
      <c r="N546" s="3" t="s">
        <v>0</v>
      </c>
      <c r="O546" s="3">
        <v>23</v>
      </c>
      <c r="P546" s="3">
        <v>20</v>
      </c>
      <c r="Q546" s="3" t="s">
        <v>60</v>
      </c>
      <c r="R546" s="3" t="s">
        <v>61</v>
      </c>
      <c r="S546" s="3">
        <v>3</v>
      </c>
      <c r="T546" s="3">
        <v>0</v>
      </c>
      <c r="U546" s="3">
        <v>3</v>
      </c>
      <c r="V546" s="3">
        <v>2</v>
      </c>
      <c r="W546" s="3">
        <v>6</v>
      </c>
      <c r="X546" s="3" t="s">
        <v>147</v>
      </c>
      <c r="Y546" s="3">
        <v>0</v>
      </c>
      <c r="Z546" s="3">
        <v>6</v>
      </c>
      <c r="AA546" s="3">
        <v>0</v>
      </c>
      <c r="AB546" s="3">
        <v>1</v>
      </c>
      <c r="AC546" s="3">
        <v>14</v>
      </c>
      <c r="AD546" s="3">
        <v>7</v>
      </c>
      <c r="AE546" s="3">
        <v>14</v>
      </c>
      <c r="AF546" s="3" t="s">
        <v>0</v>
      </c>
      <c r="AG546" s="3" t="s">
        <v>49</v>
      </c>
    </row>
    <row r="547" spans="1:33" ht="25.5" x14ac:dyDescent="0.2">
      <c r="A547" s="4" t="str">
        <f>HYPERLINK("http://www.patentics.cn/invokexml.do?sf=ShowPatent&amp;spn=CN101170390&amp;sv=e74914988216994dd5e98774bab6bc7b","CN101170390")</f>
        <v>CN101170390</v>
      </c>
      <c r="B547" s="2" t="s">
        <v>2550</v>
      </c>
      <c r="C547" s="2" t="s">
        <v>2551</v>
      </c>
      <c r="D547" s="2" t="s">
        <v>38</v>
      </c>
      <c r="E547" s="2" t="s">
        <v>38</v>
      </c>
      <c r="F547" s="2" t="s">
        <v>2519</v>
      </c>
      <c r="G547" s="2" t="s">
        <v>2519</v>
      </c>
      <c r="H547" s="2" t="s">
        <v>0</v>
      </c>
      <c r="I547" s="2" t="s">
        <v>1882</v>
      </c>
      <c r="J547" s="2" t="s">
        <v>492</v>
      </c>
      <c r="K547" s="2" t="s">
        <v>58</v>
      </c>
      <c r="L547" s="2" t="s">
        <v>1980</v>
      </c>
      <c r="M547" s="2" t="s">
        <v>58</v>
      </c>
      <c r="N547" s="2" t="s">
        <v>1785</v>
      </c>
      <c r="O547" s="2">
        <v>5</v>
      </c>
      <c r="P547" s="2">
        <v>14</v>
      </c>
      <c r="Q547" s="2" t="s">
        <v>46</v>
      </c>
      <c r="R547" s="2" t="s">
        <v>47</v>
      </c>
      <c r="S547" s="2">
        <v>0</v>
      </c>
      <c r="T547" s="2">
        <v>0</v>
      </c>
      <c r="U547" s="2">
        <v>0</v>
      </c>
      <c r="V547" s="2">
        <v>0</v>
      </c>
      <c r="W547" s="2">
        <v>8</v>
      </c>
      <c r="X547" s="2" t="s">
        <v>2552</v>
      </c>
      <c r="Y547" s="2">
        <v>0</v>
      </c>
      <c r="Z547" s="2">
        <v>8</v>
      </c>
      <c r="AA547" s="2">
        <v>3</v>
      </c>
      <c r="AB547" s="2">
        <v>3</v>
      </c>
      <c r="AC547" s="2">
        <v>0</v>
      </c>
      <c r="AD547" s="2">
        <v>0</v>
      </c>
      <c r="AE547" s="2" t="s">
        <v>0</v>
      </c>
      <c r="AF547" s="2">
        <v>5</v>
      </c>
      <c r="AG547" s="2" t="s">
        <v>2523</v>
      </c>
    </row>
    <row r="548" spans="1:33" ht="51" x14ac:dyDescent="0.2">
      <c r="A548" s="5" t="str">
        <f>HYPERLINK("http://www.patentics.cn/invokexml.do?sf=ShowPatent&amp;spn=US8638699&amp;sv=b97afd3de87ccc19bb0c08fbec0c4937","US8638699")</f>
        <v>US8638699</v>
      </c>
      <c r="B548" s="3" t="s">
        <v>2524</v>
      </c>
      <c r="C548" s="3" t="s">
        <v>2525</v>
      </c>
      <c r="D548" s="3" t="s">
        <v>52</v>
      </c>
      <c r="E548" s="3" t="s">
        <v>52</v>
      </c>
      <c r="F548" s="3" t="s">
        <v>2526</v>
      </c>
      <c r="G548" s="3" t="s">
        <v>2527</v>
      </c>
      <c r="H548" s="3" t="s">
        <v>2528</v>
      </c>
      <c r="I548" s="3" t="s">
        <v>2529</v>
      </c>
      <c r="J548" s="3" t="s">
        <v>892</v>
      </c>
      <c r="K548" s="3" t="s">
        <v>84</v>
      </c>
      <c r="L548" s="3" t="s">
        <v>163</v>
      </c>
      <c r="M548" s="3" t="s">
        <v>82</v>
      </c>
      <c r="N548" s="3" t="s">
        <v>2473</v>
      </c>
      <c r="O548" s="3">
        <v>0</v>
      </c>
      <c r="P548" s="3">
        <v>16</v>
      </c>
      <c r="Q548" s="3" t="s">
        <v>60</v>
      </c>
      <c r="R548" s="3" t="s">
        <v>61</v>
      </c>
      <c r="S548" s="3">
        <v>35</v>
      </c>
      <c r="T548" s="3">
        <v>5</v>
      </c>
      <c r="U548" s="3">
        <v>30</v>
      </c>
      <c r="V548" s="3">
        <v>19</v>
      </c>
      <c r="W548" s="3">
        <v>8</v>
      </c>
      <c r="X548" s="3" t="s">
        <v>1884</v>
      </c>
      <c r="Y548" s="3">
        <v>2</v>
      </c>
      <c r="Z548" s="3">
        <v>6</v>
      </c>
      <c r="AA548" s="3">
        <v>1</v>
      </c>
      <c r="AB548" s="3">
        <v>2</v>
      </c>
      <c r="AC548" s="3">
        <v>14</v>
      </c>
      <c r="AD548" s="3">
        <v>7</v>
      </c>
      <c r="AE548" s="3">
        <v>14</v>
      </c>
      <c r="AF548" s="3" t="s">
        <v>0</v>
      </c>
      <c r="AG548" s="3" t="s">
        <v>49</v>
      </c>
    </row>
    <row r="549" spans="1:33" ht="51" x14ac:dyDescent="0.2">
      <c r="A549" s="5" t="str">
        <f>HYPERLINK("http://www.patentics.cn/invokexml.do?sf=ShowPatent&amp;spn=US8644338&amp;sv=1bd6fa97fb03c1c33c0bc924e2f4a715","US8644338")</f>
        <v>US8644338</v>
      </c>
      <c r="B549" s="3" t="s">
        <v>2530</v>
      </c>
      <c r="C549" s="3" t="s">
        <v>2531</v>
      </c>
      <c r="D549" s="3" t="s">
        <v>52</v>
      </c>
      <c r="E549" s="3" t="s">
        <v>52</v>
      </c>
      <c r="F549" s="3" t="s">
        <v>2532</v>
      </c>
      <c r="G549" s="3" t="s">
        <v>2533</v>
      </c>
      <c r="H549" s="3" t="s">
        <v>2492</v>
      </c>
      <c r="I549" s="3" t="s">
        <v>2534</v>
      </c>
      <c r="J549" s="3" t="s">
        <v>152</v>
      </c>
      <c r="K549" s="3" t="s">
        <v>70</v>
      </c>
      <c r="L549" s="3" t="s">
        <v>2535</v>
      </c>
      <c r="M549" s="3" t="s">
        <v>82</v>
      </c>
      <c r="N549" s="3" t="s">
        <v>2473</v>
      </c>
      <c r="O549" s="3">
        <v>0</v>
      </c>
      <c r="P549" s="3">
        <v>8</v>
      </c>
      <c r="Q549" s="3" t="s">
        <v>60</v>
      </c>
      <c r="R549" s="3" t="s">
        <v>61</v>
      </c>
      <c r="S549" s="3">
        <v>35</v>
      </c>
      <c r="T549" s="3">
        <v>5</v>
      </c>
      <c r="U549" s="3">
        <v>30</v>
      </c>
      <c r="V549" s="3">
        <v>19</v>
      </c>
      <c r="W549" s="3">
        <v>0</v>
      </c>
      <c r="X549" s="3" t="s">
        <v>147</v>
      </c>
      <c r="Y549" s="3">
        <v>0</v>
      </c>
      <c r="Z549" s="3">
        <v>0</v>
      </c>
      <c r="AA549" s="3">
        <v>0</v>
      </c>
      <c r="AB549" s="3">
        <v>0</v>
      </c>
      <c r="AC549" s="3">
        <v>8</v>
      </c>
      <c r="AD549" s="3">
        <v>7</v>
      </c>
      <c r="AE549" s="3">
        <v>14</v>
      </c>
      <c r="AF549" s="3" t="s">
        <v>0</v>
      </c>
      <c r="AG549" s="3" t="s">
        <v>49</v>
      </c>
    </row>
    <row r="550" spans="1:33" ht="51" x14ac:dyDescent="0.2">
      <c r="A550" s="5" t="str">
        <f>HYPERLINK("http://www.patentics.cn/invokexml.do?sf=ShowPatent&amp;spn=US8711881&amp;sv=ca01f3f60441bf766b773a09997691a7","US8711881")</f>
        <v>US8711881</v>
      </c>
      <c r="B550" s="3" t="s">
        <v>2536</v>
      </c>
      <c r="C550" s="3" t="s">
        <v>2537</v>
      </c>
      <c r="D550" s="3" t="s">
        <v>52</v>
      </c>
      <c r="E550" s="3" t="s">
        <v>52</v>
      </c>
      <c r="F550" s="3" t="s">
        <v>2538</v>
      </c>
      <c r="G550" s="3" t="s">
        <v>2539</v>
      </c>
      <c r="H550" s="3" t="s">
        <v>2492</v>
      </c>
      <c r="I550" s="3" t="s">
        <v>2534</v>
      </c>
      <c r="J550" s="3" t="s">
        <v>476</v>
      </c>
      <c r="K550" s="3" t="s">
        <v>70</v>
      </c>
      <c r="L550" s="3" t="s">
        <v>2540</v>
      </c>
      <c r="M550" s="3" t="s">
        <v>82</v>
      </c>
      <c r="N550" s="3" t="s">
        <v>2473</v>
      </c>
      <c r="O550" s="3">
        <v>0</v>
      </c>
      <c r="P550" s="3">
        <v>16</v>
      </c>
      <c r="Q550" s="3" t="s">
        <v>60</v>
      </c>
      <c r="R550" s="3" t="s">
        <v>61</v>
      </c>
      <c r="S550" s="3">
        <v>35</v>
      </c>
      <c r="T550" s="3">
        <v>5</v>
      </c>
      <c r="U550" s="3">
        <v>30</v>
      </c>
      <c r="V550" s="3">
        <v>19</v>
      </c>
      <c r="W550" s="3">
        <v>0</v>
      </c>
      <c r="X550" s="3" t="s">
        <v>147</v>
      </c>
      <c r="Y550" s="3">
        <v>0</v>
      </c>
      <c r="Z550" s="3">
        <v>0</v>
      </c>
      <c r="AA550" s="3">
        <v>0</v>
      </c>
      <c r="AB550" s="3">
        <v>0</v>
      </c>
      <c r="AC550" s="3">
        <v>3</v>
      </c>
      <c r="AD550" s="3">
        <v>3</v>
      </c>
      <c r="AE550" s="3">
        <v>14</v>
      </c>
      <c r="AF550" s="3" t="s">
        <v>0</v>
      </c>
      <c r="AG550" s="3" t="s">
        <v>49</v>
      </c>
    </row>
    <row r="551" spans="1:33" ht="51" x14ac:dyDescent="0.2">
      <c r="A551" s="5" t="str">
        <f>HYPERLINK("http://www.patentics.cn/invokexml.do?sf=ShowPatent&amp;spn=US9326191&amp;sv=888520c2063fb5830a198ed007b20613","US9326191")</f>
        <v>US9326191</v>
      </c>
      <c r="B551" s="3" t="s">
        <v>2541</v>
      </c>
      <c r="C551" s="3" t="s">
        <v>2525</v>
      </c>
      <c r="D551" s="3" t="s">
        <v>52</v>
      </c>
      <c r="E551" s="3" t="s">
        <v>52</v>
      </c>
      <c r="F551" s="3" t="s">
        <v>2526</v>
      </c>
      <c r="G551" s="3" t="s">
        <v>2527</v>
      </c>
      <c r="H551" s="3" t="s">
        <v>2528</v>
      </c>
      <c r="I551" s="3" t="s">
        <v>2542</v>
      </c>
      <c r="J551" s="3" t="s">
        <v>2543</v>
      </c>
      <c r="K551" s="3" t="s">
        <v>82</v>
      </c>
      <c r="L551" s="3" t="s">
        <v>2544</v>
      </c>
      <c r="M551" s="3" t="s">
        <v>82</v>
      </c>
      <c r="N551" s="3" t="s">
        <v>2473</v>
      </c>
      <c r="O551" s="3">
        <v>0</v>
      </c>
      <c r="P551" s="3">
        <v>20</v>
      </c>
      <c r="Q551" s="3" t="s">
        <v>60</v>
      </c>
      <c r="R551" s="3" t="s">
        <v>61</v>
      </c>
      <c r="S551" s="3">
        <v>38</v>
      </c>
      <c r="T551" s="3">
        <v>7</v>
      </c>
      <c r="U551" s="3">
        <v>31</v>
      </c>
      <c r="V551" s="3">
        <v>19</v>
      </c>
      <c r="W551" s="3">
        <v>6</v>
      </c>
      <c r="X551" s="3" t="s">
        <v>147</v>
      </c>
      <c r="Y551" s="3">
        <v>0</v>
      </c>
      <c r="Z551" s="3">
        <v>6</v>
      </c>
      <c r="AA551" s="3">
        <v>0</v>
      </c>
      <c r="AB551" s="3">
        <v>1</v>
      </c>
      <c r="AC551" s="3">
        <v>14</v>
      </c>
      <c r="AD551" s="3">
        <v>7</v>
      </c>
      <c r="AE551" s="3">
        <v>14</v>
      </c>
      <c r="AF551" s="3" t="s">
        <v>0</v>
      </c>
      <c r="AG551" s="3" t="s">
        <v>49</v>
      </c>
    </row>
    <row r="552" spans="1:33" ht="25.5" x14ac:dyDescent="0.2">
      <c r="A552" s="5" t="str">
        <f>HYPERLINK("http://www.patentics.cn/invokexml.do?sf=ShowPatent&amp;spn=CN102273256B&amp;sv=a453aa8afe16eaf7098ba2e0bcb978ee","CN102273256B")</f>
        <v>CN102273256B</v>
      </c>
      <c r="B552" s="3" t="s">
        <v>2545</v>
      </c>
      <c r="C552" s="3" t="s">
        <v>2546</v>
      </c>
      <c r="D552" s="3" t="s">
        <v>338</v>
      </c>
      <c r="E552" s="3" t="s">
        <v>338</v>
      </c>
      <c r="F552" s="3" t="s">
        <v>2547</v>
      </c>
      <c r="G552" s="3" t="s">
        <v>2548</v>
      </c>
      <c r="H552" s="3" t="s">
        <v>2528</v>
      </c>
      <c r="I552" s="3" t="s">
        <v>2549</v>
      </c>
      <c r="J552" s="3" t="s">
        <v>1766</v>
      </c>
      <c r="K552" s="3" t="s">
        <v>82</v>
      </c>
      <c r="L552" s="3" t="s">
        <v>1177</v>
      </c>
      <c r="M552" s="3" t="s">
        <v>0</v>
      </c>
      <c r="N552" s="3" t="s">
        <v>0</v>
      </c>
      <c r="O552" s="3">
        <v>23</v>
      </c>
      <c r="P552" s="3">
        <v>20</v>
      </c>
      <c r="Q552" s="3" t="s">
        <v>60</v>
      </c>
      <c r="R552" s="3" t="s">
        <v>61</v>
      </c>
      <c r="S552" s="3">
        <v>3</v>
      </c>
      <c r="T552" s="3">
        <v>0</v>
      </c>
      <c r="U552" s="3">
        <v>3</v>
      </c>
      <c r="V552" s="3">
        <v>2</v>
      </c>
      <c r="W552" s="3">
        <v>6</v>
      </c>
      <c r="X552" s="3" t="s">
        <v>147</v>
      </c>
      <c r="Y552" s="3">
        <v>0</v>
      </c>
      <c r="Z552" s="3">
        <v>6</v>
      </c>
      <c r="AA552" s="3">
        <v>0</v>
      </c>
      <c r="AB552" s="3">
        <v>1</v>
      </c>
      <c r="AC552" s="3">
        <v>14</v>
      </c>
      <c r="AD552" s="3">
        <v>7</v>
      </c>
      <c r="AE552" s="3">
        <v>14</v>
      </c>
      <c r="AF552" s="3" t="s">
        <v>0</v>
      </c>
      <c r="AG552" s="3" t="s">
        <v>49</v>
      </c>
    </row>
    <row r="553" spans="1:33" ht="25.5" x14ac:dyDescent="0.2">
      <c r="A553" s="4" t="str">
        <f>HYPERLINK("http://www.patentics.cn/invokexml.do?sf=ShowPatent&amp;spn=CN101137185&amp;sv=f567afff8fbca1be2bd276650c73b6e0","CN101137185")</f>
        <v>CN101137185</v>
      </c>
      <c r="B553" s="2" t="s">
        <v>2553</v>
      </c>
      <c r="C553" s="2" t="s">
        <v>2554</v>
      </c>
      <c r="D553" s="2" t="s">
        <v>38</v>
      </c>
      <c r="E553" s="2" t="s">
        <v>38</v>
      </c>
      <c r="F553" s="2" t="s">
        <v>2555</v>
      </c>
      <c r="G553" s="2" t="s">
        <v>2555</v>
      </c>
      <c r="H553" s="2" t="s">
        <v>2556</v>
      </c>
      <c r="I553" s="2" t="s">
        <v>2556</v>
      </c>
      <c r="J553" s="2" t="s">
        <v>2557</v>
      </c>
      <c r="K553" s="2" t="s">
        <v>43</v>
      </c>
      <c r="L553" s="2" t="s">
        <v>44</v>
      </c>
      <c r="M553" s="2" t="s">
        <v>84</v>
      </c>
      <c r="N553" s="2" t="s">
        <v>1301</v>
      </c>
      <c r="O553" s="2">
        <v>9</v>
      </c>
      <c r="P553" s="2">
        <v>25</v>
      </c>
      <c r="Q553" s="2" t="s">
        <v>46</v>
      </c>
      <c r="R553" s="2" t="s">
        <v>47</v>
      </c>
      <c r="S553" s="2">
        <v>0</v>
      </c>
      <c r="T553" s="2">
        <v>0</v>
      </c>
      <c r="U553" s="2">
        <v>0</v>
      </c>
      <c r="V553" s="2">
        <v>0</v>
      </c>
      <c r="W553" s="2">
        <v>8</v>
      </c>
      <c r="X553" s="2" t="s">
        <v>2558</v>
      </c>
      <c r="Y553" s="2">
        <v>2</v>
      </c>
      <c r="Z553" s="2">
        <v>6</v>
      </c>
      <c r="AA553" s="2">
        <v>3</v>
      </c>
      <c r="AB553" s="2">
        <v>3</v>
      </c>
      <c r="AC553" s="2">
        <v>1</v>
      </c>
      <c r="AD553" s="2">
        <v>1</v>
      </c>
      <c r="AE553" s="2" t="s">
        <v>0</v>
      </c>
      <c r="AF553" s="2">
        <v>5</v>
      </c>
      <c r="AG553" s="2" t="s">
        <v>49</v>
      </c>
    </row>
    <row r="554" spans="1:33" ht="51" x14ac:dyDescent="0.2">
      <c r="A554" s="5" t="str">
        <f>HYPERLINK("http://www.patentics.cn/invokexml.do?sf=ShowPatent&amp;spn=US8942210&amp;sv=96e5d6cd0ab293b54b70550e679b7cad","US8942210")</f>
        <v>US8942210</v>
      </c>
      <c r="B554" s="3" t="s">
        <v>2559</v>
      </c>
      <c r="C554" s="3" t="s">
        <v>2560</v>
      </c>
      <c r="D554" s="3" t="s">
        <v>52</v>
      </c>
      <c r="E554" s="3" t="s">
        <v>52</v>
      </c>
      <c r="F554" s="3" t="s">
        <v>2561</v>
      </c>
      <c r="G554" s="3" t="s">
        <v>2562</v>
      </c>
      <c r="H554" s="3" t="s">
        <v>2563</v>
      </c>
      <c r="I554" s="3" t="s">
        <v>2564</v>
      </c>
      <c r="J554" s="3" t="s">
        <v>918</v>
      </c>
      <c r="K554" s="3" t="s">
        <v>70</v>
      </c>
      <c r="L554" s="3" t="s">
        <v>467</v>
      </c>
      <c r="M554" s="3" t="s">
        <v>84</v>
      </c>
      <c r="N554" s="3" t="s">
        <v>2565</v>
      </c>
      <c r="O554" s="3">
        <v>0</v>
      </c>
      <c r="P554" s="3">
        <v>11</v>
      </c>
      <c r="Q554" s="3" t="s">
        <v>60</v>
      </c>
      <c r="R554" s="3" t="s">
        <v>61</v>
      </c>
      <c r="S554" s="3">
        <v>60</v>
      </c>
      <c r="T554" s="3">
        <v>5</v>
      </c>
      <c r="U554" s="3">
        <v>55</v>
      </c>
      <c r="V554" s="3">
        <v>27</v>
      </c>
      <c r="W554" s="3">
        <v>0</v>
      </c>
      <c r="X554" s="3" t="s">
        <v>147</v>
      </c>
      <c r="Y554" s="3">
        <v>0</v>
      </c>
      <c r="Z554" s="3">
        <v>0</v>
      </c>
      <c r="AA554" s="3">
        <v>0</v>
      </c>
      <c r="AB554" s="3">
        <v>0</v>
      </c>
      <c r="AC554" s="3">
        <v>50</v>
      </c>
      <c r="AD554" s="3">
        <v>10</v>
      </c>
      <c r="AE554" s="3">
        <v>14</v>
      </c>
      <c r="AF554" s="3" t="s">
        <v>0</v>
      </c>
      <c r="AG554" s="3" t="s">
        <v>49</v>
      </c>
    </row>
    <row r="555" spans="1:33" ht="51" x14ac:dyDescent="0.2">
      <c r="A555" s="5" t="str">
        <f>HYPERLINK("http://www.patentics.cn/invokexml.do?sf=ShowPatent&amp;spn=US9214990&amp;sv=795f0be710471c23fac951cf7506d1c1","US9214990")</f>
        <v>US9214990</v>
      </c>
      <c r="B555" s="3" t="s">
        <v>2566</v>
      </c>
      <c r="C555" s="3" t="s">
        <v>2567</v>
      </c>
      <c r="D555" s="3" t="s">
        <v>52</v>
      </c>
      <c r="E555" s="3" t="s">
        <v>52</v>
      </c>
      <c r="F555" s="3" t="s">
        <v>2561</v>
      </c>
      <c r="G555" s="3" t="s">
        <v>2562</v>
      </c>
      <c r="H555" s="3" t="s">
        <v>2563</v>
      </c>
      <c r="I555" s="3" t="s">
        <v>2564</v>
      </c>
      <c r="J555" s="3" t="s">
        <v>2568</v>
      </c>
      <c r="K555" s="3" t="s">
        <v>82</v>
      </c>
      <c r="L555" s="3" t="s">
        <v>2569</v>
      </c>
      <c r="M555" s="3" t="s">
        <v>84</v>
      </c>
      <c r="N555" s="3" t="s">
        <v>2565</v>
      </c>
      <c r="O555" s="3">
        <v>0</v>
      </c>
      <c r="P555" s="3">
        <v>14</v>
      </c>
      <c r="Q555" s="3" t="s">
        <v>60</v>
      </c>
      <c r="R555" s="3" t="s">
        <v>61</v>
      </c>
      <c r="S555" s="3">
        <v>65</v>
      </c>
      <c r="T555" s="3">
        <v>5</v>
      </c>
      <c r="U555" s="3">
        <v>60</v>
      </c>
      <c r="V555" s="3">
        <v>27</v>
      </c>
      <c r="W555" s="3">
        <v>0</v>
      </c>
      <c r="X555" s="3" t="s">
        <v>147</v>
      </c>
      <c r="Y555" s="3">
        <v>0</v>
      </c>
      <c r="Z555" s="3">
        <v>0</v>
      </c>
      <c r="AA555" s="3">
        <v>0</v>
      </c>
      <c r="AB555" s="3">
        <v>0</v>
      </c>
      <c r="AC555" s="3">
        <v>50</v>
      </c>
      <c r="AD555" s="3">
        <v>10</v>
      </c>
      <c r="AE555" s="3">
        <v>14</v>
      </c>
      <c r="AF555" s="3" t="s">
        <v>0</v>
      </c>
      <c r="AG555" s="3" t="s">
        <v>49</v>
      </c>
    </row>
    <row r="556" spans="1:33" ht="25.5" x14ac:dyDescent="0.2">
      <c r="A556" s="5" t="str">
        <f>HYPERLINK("http://www.patentics.cn/invokexml.do?sf=ShowPatent&amp;spn=US9497002&amp;sv=c4568d8ce9d2f5592460fb5b64edd3ad","US9497002")</f>
        <v>US9497002</v>
      </c>
      <c r="B556" s="3" t="s">
        <v>2570</v>
      </c>
      <c r="C556" s="3" t="s">
        <v>2571</v>
      </c>
      <c r="D556" s="3" t="s">
        <v>52</v>
      </c>
      <c r="E556" s="3" t="s">
        <v>52</v>
      </c>
      <c r="F556" s="3" t="s">
        <v>2572</v>
      </c>
      <c r="G556" s="3" t="s">
        <v>2572</v>
      </c>
      <c r="H556" s="3" t="s">
        <v>2126</v>
      </c>
      <c r="I556" s="3" t="s">
        <v>2573</v>
      </c>
      <c r="J556" s="3" t="s">
        <v>1677</v>
      </c>
      <c r="K556" s="3" t="s">
        <v>84</v>
      </c>
      <c r="L556" s="3" t="s">
        <v>135</v>
      </c>
      <c r="M556" s="3" t="s">
        <v>58</v>
      </c>
      <c r="N556" s="3" t="s">
        <v>335</v>
      </c>
      <c r="O556" s="3">
        <v>0</v>
      </c>
      <c r="P556" s="3">
        <v>13</v>
      </c>
      <c r="Q556" s="3" t="s">
        <v>60</v>
      </c>
      <c r="R556" s="3" t="s">
        <v>47</v>
      </c>
      <c r="S556" s="3">
        <v>14</v>
      </c>
      <c r="T556" s="3">
        <v>0</v>
      </c>
      <c r="U556" s="3">
        <v>14</v>
      </c>
      <c r="V556" s="3">
        <v>9</v>
      </c>
      <c r="W556" s="3">
        <v>0</v>
      </c>
      <c r="X556" s="3" t="s">
        <v>147</v>
      </c>
      <c r="Y556" s="3">
        <v>0</v>
      </c>
      <c r="Z556" s="3">
        <v>0</v>
      </c>
      <c r="AA556" s="3">
        <v>0</v>
      </c>
      <c r="AB556" s="3">
        <v>0</v>
      </c>
      <c r="AC556" s="3">
        <v>7</v>
      </c>
      <c r="AD556" s="3">
        <v>6</v>
      </c>
      <c r="AE556" s="3">
        <v>14</v>
      </c>
      <c r="AF556" s="3" t="s">
        <v>0</v>
      </c>
      <c r="AG556" s="3" t="s">
        <v>49</v>
      </c>
    </row>
    <row r="557" spans="1:33" ht="25.5" x14ac:dyDescent="0.2">
      <c r="A557" s="5" t="str">
        <f>HYPERLINK("http://www.patentics.cn/invokexml.do?sf=ShowPatent&amp;spn=WO2014117352&amp;sv=1e3e18661e99ce6876a8e07a3d7446fc","WO2014117352")</f>
        <v>WO2014117352</v>
      </c>
      <c r="B557" s="3" t="s">
        <v>2574</v>
      </c>
      <c r="C557" s="3" t="s">
        <v>2575</v>
      </c>
      <c r="D557" s="3" t="s">
        <v>2576</v>
      </c>
      <c r="E557" s="3" t="s">
        <v>2577</v>
      </c>
      <c r="F557" s="3" t="s">
        <v>2578</v>
      </c>
      <c r="G557" s="3" t="s">
        <v>2579</v>
      </c>
      <c r="H557" s="3" t="s">
        <v>2126</v>
      </c>
      <c r="I557" s="3" t="s">
        <v>2126</v>
      </c>
      <c r="J557" s="3" t="s">
        <v>2580</v>
      </c>
      <c r="K557" s="3" t="s">
        <v>84</v>
      </c>
      <c r="L557" s="3" t="s">
        <v>135</v>
      </c>
      <c r="M557" s="3" t="s">
        <v>0</v>
      </c>
      <c r="N557" s="3" t="s">
        <v>0</v>
      </c>
      <c r="O557" s="3">
        <v>37</v>
      </c>
      <c r="P557" s="3">
        <v>11</v>
      </c>
      <c r="Q557" s="3" t="s">
        <v>352</v>
      </c>
      <c r="R557" s="3" t="s">
        <v>47</v>
      </c>
      <c r="S557" s="3">
        <v>3</v>
      </c>
      <c r="T557" s="3">
        <v>0</v>
      </c>
      <c r="U557" s="3">
        <v>3</v>
      </c>
      <c r="V557" s="3">
        <v>2</v>
      </c>
      <c r="W557" s="3">
        <v>8</v>
      </c>
      <c r="X557" s="3" t="s">
        <v>147</v>
      </c>
      <c r="Y557" s="3">
        <v>0</v>
      </c>
      <c r="Z557" s="3">
        <v>8</v>
      </c>
      <c r="AA557" s="3">
        <v>0</v>
      </c>
      <c r="AB557" s="3">
        <v>1</v>
      </c>
      <c r="AC557" s="3">
        <v>7</v>
      </c>
      <c r="AD557" s="3">
        <v>6</v>
      </c>
      <c r="AE557" s="3">
        <v>14</v>
      </c>
      <c r="AF557" s="3" t="s">
        <v>0</v>
      </c>
      <c r="AG557" s="3" t="s">
        <v>0</v>
      </c>
    </row>
    <row r="558" spans="1:33" ht="25.5" x14ac:dyDescent="0.2">
      <c r="A558" s="5" t="str">
        <f>HYPERLINK("http://www.patentics.cn/invokexml.do?sf=ShowPatent&amp;spn=CN102257746B&amp;sv=3ca0a550bb67ca866569e06d0e9acf65","CN102257746B")</f>
        <v>CN102257746B</v>
      </c>
      <c r="B558" s="3" t="s">
        <v>2581</v>
      </c>
      <c r="C558" s="3" t="s">
        <v>2582</v>
      </c>
      <c r="D558" s="3" t="s">
        <v>338</v>
      </c>
      <c r="E558" s="3" t="s">
        <v>338</v>
      </c>
      <c r="F558" s="3" t="s">
        <v>2583</v>
      </c>
      <c r="G558" s="3" t="s">
        <v>2584</v>
      </c>
      <c r="H558" s="3" t="s">
        <v>2563</v>
      </c>
      <c r="I558" s="3" t="s">
        <v>2585</v>
      </c>
      <c r="J558" s="3" t="s">
        <v>2177</v>
      </c>
      <c r="K558" s="3" t="s">
        <v>84</v>
      </c>
      <c r="L558" s="3" t="s">
        <v>401</v>
      </c>
      <c r="M558" s="3" t="s">
        <v>0</v>
      </c>
      <c r="N558" s="3" t="s">
        <v>0</v>
      </c>
      <c r="O558" s="3">
        <v>13</v>
      </c>
      <c r="P558" s="3">
        <v>12</v>
      </c>
      <c r="Q558" s="3" t="s">
        <v>60</v>
      </c>
      <c r="R558" s="3" t="s">
        <v>61</v>
      </c>
      <c r="S558" s="3">
        <v>5</v>
      </c>
      <c r="T558" s="3">
        <v>1</v>
      </c>
      <c r="U558" s="3">
        <v>4</v>
      </c>
      <c r="V558" s="3">
        <v>5</v>
      </c>
      <c r="W558" s="3">
        <v>0</v>
      </c>
      <c r="X558" s="3" t="s">
        <v>147</v>
      </c>
      <c r="Y558" s="3">
        <v>0</v>
      </c>
      <c r="Z558" s="3">
        <v>0</v>
      </c>
      <c r="AA558" s="3">
        <v>0</v>
      </c>
      <c r="AB558" s="3">
        <v>0</v>
      </c>
      <c r="AC558" s="3">
        <v>0</v>
      </c>
      <c r="AD558" s="3">
        <v>0</v>
      </c>
      <c r="AE558" s="3">
        <v>14</v>
      </c>
      <c r="AF558" s="3" t="s">
        <v>0</v>
      </c>
      <c r="AG558" s="3" t="s">
        <v>49</v>
      </c>
    </row>
    <row r="559" spans="1:33" x14ac:dyDescent="0.2">
      <c r="A559" s="4" t="str">
        <f>HYPERLINK("http://www.patentics.cn/invokexml.do?sf=ShowPatent&amp;spn=CN101047954&amp;sv=79137076bd3f43e7b7dcbe772c43b26c","CN101047954")</f>
        <v>CN101047954</v>
      </c>
      <c r="B559" s="2" t="s">
        <v>2586</v>
      </c>
      <c r="C559" s="2" t="s">
        <v>2587</v>
      </c>
      <c r="D559" s="2" t="s">
        <v>38</v>
      </c>
      <c r="E559" s="2" t="s">
        <v>38</v>
      </c>
      <c r="F559" s="2" t="s">
        <v>2588</v>
      </c>
      <c r="G559" s="2" t="s">
        <v>2588</v>
      </c>
      <c r="H559" s="2" t="s">
        <v>0</v>
      </c>
      <c r="I559" s="2" t="s">
        <v>2589</v>
      </c>
      <c r="J559" s="2" t="s">
        <v>2590</v>
      </c>
      <c r="K559" s="2" t="s">
        <v>43</v>
      </c>
      <c r="L559" s="2" t="s">
        <v>2591</v>
      </c>
      <c r="M559" s="2" t="s">
        <v>43</v>
      </c>
      <c r="N559" s="2" t="s">
        <v>45</v>
      </c>
      <c r="O559" s="2">
        <v>5</v>
      </c>
      <c r="P559" s="2">
        <v>30</v>
      </c>
      <c r="Q559" s="2" t="s">
        <v>46</v>
      </c>
      <c r="R559" s="2" t="s">
        <v>47</v>
      </c>
      <c r="S559" s="2">
        <v>0</v>
      </c>
      <c r="T559" s="2">
        <v>0</v>
      </c>
      <c r="U559" s="2">
        <v>0</v>
      </c>
      <c r="V559" s="2">
        <v>0</v>
      </c>
      <c r="W559" s="2">
        <v>14</v>
      </c>
      <c r="X559" s="2" t="s">
        <v>2592</v>
      </c>
      <c r="Y559" s="2">
        <v>7</v>
      </c>
      <c r="Z559" s="2">
        <v>7</v>
      </c>
      <c r="AA559" s="2">
        <v>4</v>
      </c>
      <c r="AB559" s="2">
        <v>3</v>
      </c>
      <c r="AC559" s="2">
        <v>0</v>
      </c>
      <c r="AD559" s="2">
        <v>0</v>
      </c>
      <c r="AE559" s="2" t="s">
        <v>0</v>
      </c>
      <c r="AF559" s="2">
        <v>5</v>
      </c>
      <c r="AG559" s="2" t="s">
        <v>2523</v>
      </c>
    </row>
    <row r="560" spans="1:33" ht="51" x14ac:dyDescent="0.2">
      <c r="A560" s="5" t="str">
        <f>HYPERLINK("http://www.patentics.cn/invokexml.do?sf=ShowPatent&amp;spn=US8725145&amp;sv=0ea20d8c0af62a0fe3de1c6d6e46f0a5","US8725145")</f>
        <v>US8725145</v>
      </c>
      <c r="B560" s="3" t="s">
        <v>2065</v>
      </c>
      <c r="C560" s="3" t="s">
        <v>2066</v>
      </c>
      <c r="D560" s="3" t="s">
        <v>52</v>
      </c>
      <c r="E560" s="3" t="s">
        <v>52</v>
      </c>
      <c r="F560" s="3" t="s">
        <v>2067</v>
      </c>
      <c r="G560" s="3" t="s">
        <v>2068</v>
      </c>
      <c r="H560" s="3" t="s">
        <v>2069</v>
      </c>
      <c r="I560" s="3" t="s">
        <v>2070</v>
      </c>
      <c r="J560" s="3" t="s">
        <v>903</v>
      </c>
      <c r="K560" s="3" t="s">
        <v>82</v>
      </c>
      <c r="L560" s="3" t="s">
        <v>2071</v>
      </c>
      <c r="M560" s="3" t="s">
        <v>82</v>
      </c>
      <c r="N560" s="3" t="s">
        <v>2072</v>
      </c>
      <c r="O560" s="3">
        <v>0</v>
      </c>
      <c r="P560" s="3">
        <v>8</v>
      </c>
      <c r="Q560" s="3" t="s">
        <v>60</v>
      </c>
      <c r="R560" s="3" t="s">
        <v>61</v>
      </c>
      <c r="S560" s="3">
        <v>33</v>
      </c>
      <c r="T560" s="3">
        <v>8</v>
      </c>
      <c r="U560" s="3">
        <v>25</v>
      </c>
      <c r="V560" s="3">
        <v>17</v>
      </c>
      <c r="W560" s="3">
        <v>0</v>
      </c>
      <c r="X560" s="3" t="s">
        <v>147</v>
      </c>
      <c r="Y560" s="3">
        <v>0</v>
      </c>
      <c r="Z560" s="3">
        <v>0</v>
      </c>
      <c r="AA560" s="3">
        <v>0</v>
      </c>
      <c r="AB560" s="3">
        <v>0</v>
      </c>
      <c r="AC560" s="3">
        <v>6</v>
      </c>
      <c r="AD560" s="3">
        <v>6</v>
      </c>
      <c r="AE560" s="3">
        <v>14</v>
      </c>
      <c r="AF560" s="3" t="s">
        <v>0</v>
      </c>
      <c r="AG560" s="3" t="s">
        <v>49</v>
      </c>
    </row>
    <row r="561" spans="1:33" ht="38.25" x14ac:dyDescent="0.2">
      <c r="A561" s="5" t="str">
        <f>HYPERLINK("http://www.patentics.cn/invokexml.do?sf=ShowPatent&amp;spn=US9179329&amp;sv=71a6d2e8e896970e17a9e0fc56ce0522","US9179329")</f>
        <v>US9179329</v>
      </c>
      <c r="B561" s="3" t="s">
        <v>2073</v>
      </c>
      <c r="C561" s="3" t="s">
        <v>2074</v>
      </c>
      <c r="D561" s="3" t="s">
        <v>52</v>
      </c>
      <c r="E561" s="3" t="s">
        <v>52</v>
      </c>
      <c r="F561" s="3" t="s">
        <v>2075</v>
      </c>
      <c r="G561" s="3" t="s">
        <v>2076</v>
      </c>
      <c r="H561" s="3" t="s">
        <v>2077</v>
      </c>
      <c r="I561" s="3" t="s">
        <v>2078</v>
      </c>
      <c r="J561" s="3" t="s">
        <v>269</v>
      </c>
      <c r="K561" s="3" t="s">
        <v>84</v>
      </c>
      <c r="L561" s="3" t="s">
        <v>2079</v>
      </c>
      <c r="M561" s="3" t="s">
        <v>82</v>
      </c>
      <c r="N561" s="3" t="s">
        <v>958</v>
      </c>
      <c r="O561" s="3">
        <v>0</v>
      </c>
      <c r="P561" s="3">
        <v>23</v>
      </c>
      <c r="Q561" s="3" t="s">
        <v>60</v>
      </c>
      <c r="R561" s="3" t="s">
        <v>47</v>
      </c>
      <c r="S561" s="3">
        <v>55</v>
      </c>
      <c r="T561" s="3">
        <v>9</v>
      </c>
      <c r="U561" s="3">
        <v>46</v>
      </c>
      <c r="V561" s="3">
        <v>25</v>
      </c>
      <c r="W561" s="3">
        <v>0</v>
      </c>
      <c r="X561" s="3" t="s">
        <v>147</v>
      </c>
      <c r="Y561" s="3">
        <v>0</v>
      </c>
      <c r="Z561" s="3">
        <v>0</v>
      </c>
      <c r="AA561" s="3">
        <v>0</v>
      </c>
      <c r="AB561" s="3">
        <v>0</v>
      </c>
      <c r="AC561" s="3">
        <v>24</v>
      </c>
      <c r="AD561" s="3">
        <v>6</v>
      </c>
      <c r="AE561" s="3">
        <v>14</v>
      </c>
      <c r="AF561" s="3" t="s">
        <v>0</v>
      </c>
      <c r="AG561" s="3" t="s">
        <v>49</v>
      </c>
    </row>
    <row r="562" spans="1:33" ht="51" x14ac:dyDescent="0.2">
      <c r="A562" s="5" t="str">
        <f>HYPERLINK("http://www.patentics.cn/invokexml.do?sf=ShowPatent&amp;spn=US9264916&amp;sv=59e58d3d8478cbadb5c389c78f8eb69d","US9264916")</f>
        <v>US9264916</v>
      </c>
      <c r="B562" s="3" t="s">
        <v>2080</v>
      </c>
      <c r="C562" s="3" t="s">
        <v>2081</v>
      </c>
      <c r="D562" s="3" t="s">
        <v>52</v>
      </c>
      <c r="E562" s="3" t="s">
        <v>52</v>
      </c>
      <c r="F562" s="3" t="s">
        <v>2075</v>
      </c>
      <c r="G562" s="3" t="s">
        <v>2076</v>
      </c>
      <c r="H562" s="3" t="s">
        <v>2077</v>
      </c>
      <c r="I562" s="3" t="s">
        <v>891</v>
      </c>
      <c r="J562" s="3" t="s">
        <v>664</v>
      </c>
      <c r="K562" s="3" t="s">
        <v>82</v>
      </c>
      <c r="L562" s="3" t="s">
        <v>2082</v>
      </c>
      <c r="M562" s="3" t="s">
        <v>82</v>
      </c>
      <c r="N562" s="3" t="s">
        <v>958</v>
      </c>
      <c r="O562" s="3">
        <v>0</v>
      </c>
      <c r="P562" s="3">
        <v>17</v>
      </c>
      <c r="Q562" s="3" t="s">
        <v>60</v>
      </c>
      <c r="R562" s="3" t="s">
        <v>47</v>
      </c>
      <c r="S562" s="3">
        <v>55</v>
      </c>
      <c r="T562" s="3">
        <v>9</v>
      </c>
      <c r="U562" s="3">
        <v>46</v>
      </c>
      <c r="V562" s="3">
        <v>25</v>
      </c>
      <c r="W562" s="3">
        <v>0</v>
      </c>
      <c r="X562" s="3" t="s">
        <v>147</v>
      </c>
      <c r="Y562" s="3">
        <v>0</v>
      </c>
      <c r="Z562" s="3">
        <v>0</v>
      </c>
      <c r="AA562" s="3">
        <v>0</v>
      </c>
      <c r="AB562" s="3">
        <v>0</v>
      </c>
      <c r="AC562" s="3">
        <v>24</v>
      </c>
      <c r="AD562" s="3">
        <v>6</v>
      </c>
      <c r="AE562" s="3">
        <v>14</v>
      </c>
      <c r="AF562" s="3" t="s">
        <v>0</v>
      </c>
      <c r="AG562" s="3" t="s">
        <v>49</v>
      </c>
    </row>
    <row r="563" spans="1:33" ht="51" x14ac:dyDescent="0.2">
      <c r="A563" s="5" t="str">
        <f>HYPERLINK("http://www.patentics.cn/invokexml.do?sf=ShowPatent&amp;spn=WO2011113317&amp;sv=20b60f8844aed7594952d8928917ad07","WO2011113317")</f>
        <v>WO2011113317</v>
      </c>
      <c r="B563" s="3" t="s">
        <v>2593</v>
      </c>
      <c r="C563" s="3" t="s">
        <v>2081</v>
      </c>
      <c r="D563" s="3" t="s">
        <v>2084</v>
      </c>
      <c r="E563" s="3" t="s">
        <v>2085</v>
      </c>
      <c r="F563" s="3" t="s">
        <v>2086</v>
      </c>
      <c r="G563" s="3" t="s">
        <v>2087</v>
      </c>
      <c r="H563" s="3" t="s">
        <v>2077</v>
      </c>
      <c r="I563" s="3" t="s">
        <v>891</v>
      </c>
      <c r="J563" s="3" t="s">
        <v>2088</v>
      </c>
      <c r="K563" s="3" t="s">
        <v>82</v>
      </c>
      <c r="L563" s="3" t="s">
        <v>2594</v>
      </c>
      <c r="M563" s="3" t="s">
        <v>0</v>
      </c>
      <c r="N563" s="3" t="s">
        <v>0</v>
      </c>
      <c r="O563" s="3">
        <v>36</v>
      </c>
      <c r="P563" s="3">
        <v>11</v>
      </c>
      <c r="Q563" s="3" t="s">
        <v>352</v>
      </c>
      <c r="R563" s="3" t="s">
        <v>47</v>
      </c>
      <c r="S563" s="3">
        <v>4</v>
      </c>
      <c r="T563" s="3">
        <v>0</v>
      </c>
      <c r="U563" s="3">
        <v>4</v>
      </c>
      <c r="V563" s="3">
        <v>3</v>
      </c>
      <c r="W563" s="3">
        <v>8</v>
      </c>
      <c r="X563" s="3" t="s">
        <v>2595</v>
      </c>
      <c r="Y563" s="3">
        <v>3</v>
      </c>
      <c r="Z563" s="3">
        <v>5</v>
      </c>
      <c r="AA563" s="3">
        <v>3</v>
      </c>
      <c r="AB563" s="3">
        <v>3</v>
      </c>
      <c r="AC563" s="3">
        <v>24</v>
      </c>
      <c r="AD563" s="3">
        <v>6</v>
      </c>
      <c r="AE563" s="3">
        <v>14</v>
      </c>
      <c r="AF563" s="3" t="s">
        <v>0</v>
      </c>
      <c r="AG563" s="3" t="s">
        <v>0</v>
      </c>
    </row>
    <row r="564" spans="1:33" ht="25.5" x14ac:dyDescent="0.2">
      <c r="A564" s="5" t="str">
        <f>HYPERLINK("http://www.patentics.cn/invokexml.do?sf=ShowPatent&amp;spn=CN102598767B&amp;sv=697ce0c15c95e43456d18123b050b9f8","CN102598767B")</f>
        <v>CN102598767B</v>
      </c>
      <c r="B564" s="3" t="s">
        <v>2596</v>
      </c>
      <c r="C564" s="3" t="s">
        <v>2597</v>
      </c>
      <c r="D564" s="3" t="s">
        <v>338</v>
      </c>
      <c r="E564" s="3" t="s">
        <v>338</v>
      </c>
      <c r="F564" s="3" t="s">
        <v>2092</v>
      </c>
      <c r="G564" s="3" t="s">
        <v>2093</v>
      </c>
      <c r="H564" s="3" t="s">
        <v>2077</v>
      </c>
      <c r="I564" s="3" t="s">
        <v>891</v>
      </c>
      <c r="J564" s="3" t="s">
        <v>2598</v>
      </c>
      <c r="K564" s="3" t="s">
        <v>82</v>
      </c>
      <c r="L564" s="3" t="s">
        <v>2594</v>
      </c>
      <c r="M564" s="3" t="s">
        <v>0</v>
      </c>
      <c r="N564" s="3" t="s">
        <v>0</v>
      </c>
      <c r="O564" s="3">
        <v>39</v>
      </c>
      <c r="P564" s="3">
        <v>21</v>
      </c>
      <c r="Q564" s="3" t="s">
        <v>60</v>
      </c>
      <c r="R564" s="3" t="s">
        <v>47</v>
      </c>
      <c r="S564" s="3">
        <v>2</v>
      </c>
      <c r="T564" s="3">
        <v>0</v>
      </c>
      <c r="U564" s="3">
        <v>2</v>
      </c>
      <c r="V564" s="3">
        <v>2</v>
      </c>
      <c r="W564" s="3">
        <v>0</v>
      </c>
      <c r="X564" s="3" t="s">
        <v>147</v>
      </c>
      <c r="Y564" s="3">
        <v>0</v>
      </c>
      <c r="Z564" s="3">
        <v>0</v>
      </c>
      <c r="AA564" s="3">
        <v>0</v>
      </c>
      <c r="AB564" s="3">
        <v>0</v>
      </c>
      <c r="AC564" s="3">
        <v>24</v>
      </c>
      <c r="AD564" s="3">
        <v>6</v>
      </c>
      <c r="AE564" s="3">
        <v>14</v>
      </c>
      <c r="AF564" s="3" t="s">
        <v>0</v>
      </c>
      <c r="AG564" s="3" t="s">
        <v>49</v>
      </c>
    </row>
    <row r="565" spans="1:33" ht="38.25" x14ac:dyDescent="0.2">
      <c r="A565" s="4" t="str">
        <f>HYPERLINK("http://www.patentics.cn/invokexml.do?sf=ShowPatent&amp;spn=CN1878052&amp;sv=58d30879d77e3b9585b2e98139841651","CN1878052")</f>
        <v>CN1878052</v>
      </c>
      <c r="B565" s="2" t="s">
        <v>2599</v>
      </c>
      <c r="C565" s="2" t="s">
        <v>2600</v>
      </c>
      <c r="D565" s="2" t="s">
        <v>38</v>
      </c>
      <c r="E565" s="2" t="s">
        <v>38</v>
      </c>
      <c r="F565" s="2" t="s">
        <v>2601</v>
      </c>
      <c r="G565" s="2" t="s">
        <v>1297</v>
      </c>
      <c r="H565" s="2" t="s">
        <v>2602</v>
      </c>
      <c r="I565" s="2" t="s">
        <v>2602</v>
      </c>
      <c r="J565" s="2" t="s">
        <v>870</v>
      </c>
      <c r="K565" s="2" t="s">
        <v>58</v>
      </c>
      <c r="L565" s="2" t="s">
        <v>2603</v>
      </c>
      <c r="M565" s="2" t="s">
        <v>84</v>
      </c>
      <c r="N565" s="2" t="s">
        <v>2604</v>
      </c>
      <c r="O565" s="2">
        <v>10</v>
      </c>
      <c r="P565" s="2">
        <v>18</v>
      </c>
      <c r="Q565" s="2" t="s">
        <v>46</v>
      </c>
      <c r="R565" s="2" t="s">
        <v>47</v>
      </c>
      <c r="S565" s="2">
        <v>0</v>
      </c>
      <c r="T565" s="2">
        <v>0</v>
      </c>
      <c r="U565" s="2">
        <v>0</v>
      </c>
      <c r="V565" s="2">
        <v>0</v>
      </c>
      <c r="W565" s="2">
        <v>15</v>
      </c>
      <c r="X565" s="2" t="s">
        <v>2605</v>
      </c>
      <c r="Y565" s="2">
        <v>1</v>
      </c>
      <c r="Z565" s="2">
        <v>14</v>
      </c>
      <c r="AA565" s="2">
        <v>4</v>
      </c>
      <c r="AB565" s="2">
        <v>2</v>
      </c>
      <c r="AC565" s="2">
        <v>1</v>
      </c>
      <c r="AD565" s="2">
        <v>1</v>
      </c>
      <c r="AE565" s="2" t="s">
        <v>0</v>
      </c>
      <c r="AF565" s="2">
        <v>5</v>
      </c>
      <c r="AG565" s="2" t="s">
        <v>755</v>
      </c>
    </row>
    <row r="566" spans="1:33" ht="51" x14ac:dyDescent="0.2">
      <c r="A566" s="5" t="str">
        <f>HYPERLINK("http://www.patentics.cn/invokexml.do?sf=ShowPatent&amp;spn=US8665857&amp;sv=3ce4243d572673fcd90d1bd5c972c3e2","US8665857")</f>
        <v>US8665857</v>
      </c>
      <c r="B566" s="3" t="s">
        <v>2606</v>
      </c>
      <c r="C566" s="3" t="s">
        <v>2607</v>
      </c>
      <c r="D566" s="3" t="s">
        <v>52</v>
      </c>
      <c r="E566" s="3" t="s">
        <v>52</v>
      </c>
      <c r="F566" s="3" t="s">
        <v>1853</v>
      </c>
      <c r="G566" s="3" t="s">
        <v>1853</v>
      </c>
      <c r="H566" s="3" t="s">
        <v>2608</v>
      </c>
      <c r="I566" s="3" t="s">
        <v>2609</v>
      </c>
      <c r="J566" s="3" t="s">
        <v>2610</v>
      </c>
      <c r="K566" s="3" t="s">
        <v>70</v>
      </c>
      <c r="L566" s="3" t="s">
        <v>153</v>
      </c>
      <c r="M566" s="3" t="s">
        <v>82</v>
      </c>
      <c r="N566" s="3" t="s">
        <v>2611</v>
      </c>
      <c r="O566" s="3">
        <v>0</v>
      </c>
      <c r="P566" s="3">
        <v>15</v>
      </c>
      <c r="Q566" s="3" t="s">
        <v>60</v>
      </c>
      <c r="R566" s="3" t="s">
        <v>61</v>
      </c>
      <c r="S566" s="3">
        <v>76</v>
      </c>
      <c r="T566" s="3">
        <v>10</v>
      </c>
      <c r="U566" s="3">
        <v>66</v>
      </c>
      <c r="V566" s="3">
        <v>20</v>
      </c>
      <c r="W566" s="3">
        <v>11</v>
      </c>
      <c r="X566" s="3" t="s">
        <v>2612</v>
      </c>
      <c r="Y566" s="3">
        <v>0</v>
      </c>
      <c r="Z566" s="3">
        <v>11</v>
      </c>
      <c r="AA566" s="3">
        <v>3</v>
      </c>
      <c r="AB566" s="3">
        <v>2</v>
      </c>
      <c r="AC566" s="3">
        <v>25</v>
      </c>
      <c r="AD566" s="3">
        <v>16</v>
      </c>
      <c r="AE566" s="3">
        <v>14</v>
      </c>
      <c r="AF566" s="3" t="s">
        <v>0</v>
      </c>
      <c r="AG566" s="3" t="s">
        <v>49</v>
      </c>
    </row>
    <row r="567" spans="1:33" ht="38.25" x14ac:dyDescent="0.2">
      <c r="A567" s="5" t="str">
        <f>HYPERLINK("http://www.patentics.cn/invokexml.do?sf=ShowPatent&amp;spn=US8780816&amp;sv=a4e6357a6818674d6fc7b0037ebfe16c","US8780816")</f>
        <v>US8780816</v>
      </c>
      <c r="B567" s="3" t="s">
        <v>2613</v>
      </c>
      <c r="C567" s="3" t="s">
        <v>2614</v>
      </c>
      <c r="D567" s="3" t="s">
        <v>52</v>
      </c>
      <c r="E567" s="3" t="s">
        <v>52</v>
      </c>
      <c r="F567" s="3" t="s">
        <v>2615</v>
      </c>
      <c r="G567" s="3" t="s">
        <v>949</v>
      </c>
      <c r="H567" s="3" t="s">
        <v>2616</v>
      </c>
      <c r="I567" s="3" t="s">
        <v>2617</v>
      </c>
      <c r="J567" s="3" t="s">
        <v>2618</v>
      </c>
      <c r="K567" s="3" t="s">
        <v>82</v>
      </c>
      <c r="L567" s="3" t="s">
        <v>244</v>
      </c>
      <c r="M567" s="3" t="s">
        <v>82</v>
      </c>
      <c r="N567" s="3" t="s">
        <v>2619</v>
      </c>
      <c r="O567" s="3">
        <v>0</v>
      </c>
      <c r="P567" s="3">
        <v>16</v>
      </c>
      <c r="Q567" s="3" t="s">
        <v>60</v>
      </c>
      <c r="R567" s="3" t="s">
        <v>61</v>
      </c>
      <c r="S567" s="3">
        <v>70</v>
      </c>
      <c r="T567" s="3">
        <v>8</v>
      </c>
      <c r="U567" s="3">
        <v>62</v>
      </c>
      <c r="V567" s="3">
        <v>20</v>
      </c>
      <c r="W567" s="3">
        <v>9</v>
      </c>
      <c r="X567" s="3" t="s">
        <v>108</v>
      </c>
      <c r="Y567" s="3">
        <v>1</v>
      </c>
      <c r="Z567" s="3">
        <v>8</v>
      </c>
      <c r="AA567" s="3">
        <v>1</v>
      </c>
      <c r="AB567" s="3">
        <v>2</v>
      </c>
      <c r="AC567" s="3">
        <v>30</v>
      </c>
      <c r="AD567" s="3">
        <v>19</v>
      </c>
      <c r="AE567" s="3">
        <v>14</v>
      </c>
      <c r="AF567" s="3" t="s">
        <v>0</v>
      </c>
      <c r="AG567" s="3" t="s">
        <v>49</v>
      </c>
    </row>
    <row r="568" spans="1:33" ht="127.5" x14ac:dyDescent="0.2">
      <c r="A568" s="5" t="str">
        <f>HYPERLINK("http://www.patentics.cn/invokexml.do?sf=ShowPatent&amp;spn=US9094202&amp;sv=b200a3cf3b5191c3f92c7fcc3c566d84","US9094202")</f>
        <v>US9094202</v>
      </c>
      <c r="B568" s="3" t="s">
        <v>2620</v>
      </c>
      <c r="C568" s="3" t="s">
        <v>2621</v>
      </c>
      <c r="D568" s="3" t="s">
        <v>52</v>
      </c>
      <c r="E568" s="3" t="s">
        <v>52</v>
      </c>
      <c r="F568" s="3" t="s">
        <v>2622</v>
      </c>
      <c r="G568" s="3" t="s">
        <v>2623</v>
      </c>
      <c r="H568" s="3" t="s">
        <v>1290</v>
      </c>
      <c r="I568" s="3" t="s">
        <v>2617</v>
      </c>
      <c r="J568" s="3" t="s">
        <v>2214</v>
      </c>
      <c r="K568" s="3" t="s">
        <v>58</v>
      </c>
      <c r="L568" s="3" t="s">
        <v>2624</v>
      </c>
      <c r="M568" s="3" t="s">
        <v>0</v>
      </c>
      <c r="N568" s="3" t="s">
        <v>0</v>
      </c>
      <c r="O568" s="3">
        <v>0</v>
      </c>
      <c r="P568" s="3">
        <v>17</v>
      </c>
      <c r="Q568" s="3" t="s">
        <v>60</v>
      </c>
      <c r="R568" s="3" t="s">
        <v>61</v>
      </c>
      <c r="S568" s="3">
        <v>80</v>
      </c>
      <c r="T568" s="3">
        <v>10</v>
      </c>
      <c r="U568" s="3">
        <v>70</v>
      </c>
      <c r="V568" s="3">
        <v>23</v>
      </c>
      <c r="W568" s="3">
        <v>8</v>
      </c>
      <c r="X568" s="3" t="s">
        <v>74</v>
      </c>
      <c r="Y568" s="3">
        <v>0</v>
      </c>
      <c r="Z568" s="3">
        <v>8</v>
      </c>
      <c r="AA568" s="3">
        <v>1</v>
      </c>
      <c r="AB568" s="3">
        <v>2</v>
      </c>
      <c r="AC568" s="3">
        <v>21</v>
      </c>
      <c r="AD568" s="3">
        <v>13</v>
      </c>
      <c r="AE568" s="3">
        <v>14</v>
      </c>
      <c r="AF568" s="3" t="s">
        <v>0</v>
      </c>
      <c r="AG568" s="3" t="s">
        <v>49</v>
      </c>
    </row>
    <row r="569" spans="1:33" ht="38.25" x14ac:dyDescent="0.2">
      <c r="A569" s="5" t="str">
        <f>HYPERLINK("http://www.patentics.cn/invokexml.do?sf=ShowPatent&amp;spn=US9591668&amp;sv=2619e6890340af1c955a686b607e5d70","US9591668")</f>
        <v>US9591668</v>
      </c>
      <c r="B569" s="3" t="s">
        <v>2625</v>
      </c>
      <c r="C569" s="3" t="s">
        <v>2626</v>
      </c>
      <c r="D569" s="3" t="s">
        <v>52</v>
      </c>
      <c r="E569" s="3" t="s">
        <v>52</v>
      </c>
      <c r="F569" s="3" t="s">
        <v>2615</v>
      </c>
      <c r="G569" s="3" t="s">
        <v>949</v>
      </c>
      <c r="H569" s="3" t="s">
        <v>2616</v>
      </c>
      <c r="I569" s="3" t="s">
        <v>2627</v>
      </c>
      <c r="J569" s="3" t="s">
        <v>2406</v>
      </c>
      <c r="K569" s="3" t="s">
        <v>82</v>
      </c>
      <c r="L569" s="3" t="s">
        <v>244</v>
      </c>
      <c r="M569" s="3" t="s">
        <v>82</v>
      </c>
      <c r="N569" s="3" t="s">
        <v>2619</v>
      </c>
      <c r="O569" s="3">
        <v>0</v>
      </c>
      <c r="P569" s="3">
        <v>22</v>
      </c>
      <c r="Q569" s="3" t="s">
        <v>60</v>
      </c>
      <c r="R569" s="3" t="s">
        <v>61</v>
      </c>
      <c r="S569" s="3">
        <v>84</v>
      </c>
      <c r="T569" s="3">
        <v>13</v>
      </c>
      <c r="U569" s="3">
        <v>71</v>
      </c>
      <c r="V569" s="3">
        <v>23</v>
      </c>
      <c r="W569" s="3">
        <v>0</v>
      </c>
      <c r="X569" s="3" t="s">
        <v>147</v>
      </c>
      <c r="Y569" s="3">
        <v>0</v>
      </c>
      <c r="Z569" s="3">
        <v>0</v>
      </c>
      <c r="AA569" s="3">
        <v>0</v>
      </c>
      <c r="AB569" s="3">
        <v>0</v>
      </c>
      <c r="AC569" s="3">
        <v>30</v>
      </c>
      <c r="AD569" s="3">
        <v>19</v>
      </c>
      <c r="AE569" s="3">
        <v>14</v>
      </c>
      <c r="AF569" s="3" t="s">
        <v>0</v>
      </c>
      <c r="AG569" s="3" t="s">
        <v>49</v>
      </c>
    </row>
    <row r="570" spans="1:33" ht="25.5" x14ac:dyDescent="0.2">
      <c r="A570" s="5" t="str">
        <f>HYPERLINK("http://www.patentics.cn/invokexml.do?sf=ShowPatent&amp;spn=CN101904212B&amp;sv=4f3532fdd2bff748450da39475d1f02d","CN101904212B")</f>
        <v>CN101904212B</v>
      </c>
      <c r="B570" s="3" t="s">
        <v>2628</v>
      </c>
      <c r="C570" s="3" t="s">
        <v>2629</v>
      </c>
      <c r="D570" s="3" t="s">
        <v>338</v>
      </c>
      <c r="E570" s="3" t="s">
        <v>338</v>
      </c>
      <c r="F570" s="3" t="s">
        <v>2630</v>
      </c>
      <c r="G570" s="3" t="s">
        <v>2630</v>
      </c>
      <c r="H570" s="3" t="s">
        <v>2608</v>
      </c>
      <c r="I570" s="3" t="s">
        <v>2631</v>
      </c>
      <c r="J570" s="3" t="s">
        <v>2632</v>
      </c>
      <c r="K570" s="3" t="s">
        <v>82</v>
      </c>
      <c r="L570" s="3" t="s">
        <v>1310</v>
      </c>
      <c r="M570" s="3" t="s">
        <v>0</v>
      </c>
      <c r="N570" s="3" t="s">
        <v>0</v>
      </c>
      <c r="O570" s="3">
        <v>23</v>
      </c>
      <c r="P570" s="3">
        <v>19</v>
      </c>
      <c r="Q570" s="3" t="s">
        <v>60</v>
      </c>
      <c r="R570" s="3" t="s">
        <v>61</v>
      </c>
      <c r="S570" s="3">
        <v>3</v>
      </c>
      <c r="T570" s="3">
        <v>0</v>
      </c>
      <c r="U570" s="3">
        <v>3</v>
      </c>
      <c r="V570" s="3">
        <v>2</v>
      </c>
      <c r="W570" s="3">
        <v>6</v>
      </c>
      <c r="X570" s="3" t="s">
        <v>147</v>
      </c>
      <c r="Y570" s="3">
        <v>0</v>
      </c>
      <c r="Z570" s="3">
        <v>6</v>
      </c>
      <c r="AA570" s="3">
        <v>0</v>
      </c>
      <c r="AB570" s="3">
        <v>1</v>
      </c>
      <c r="AC570" s="3">
        <v>25</v>
      </c>
      <c r="AD570" s="3">
        <v>16</v>
      </c>
      <c r="AE570" s="3">
        <v>14</v>
      </c>
      <c r="AF570" s="3" t="s">
        <v>0</v>
      </c>
      <c r="AG570" s="3" t="s">
        <v>49</v>
      </c>
    </row>
    <row r="571" spans="1:33" ht="25.5" x14ac:dyDescent="0.2">
      <c r="A571" s="4" t="str">
        <f>HYPERLINK("http://www.patentics.cn/invokexml.do?sf=ShowPatent&amp;spn=CN1310537&amp;sv=d1e114927f2fbddf78270ba32bba6299","CN1310537")</f>
        <v>CN1310537</v>
      </c>
      <c r="B571" s="2" t="s">
        <v>2633</v>
      </c>
      <c r="C571" s="2" t="s">
        <v>2634</v>
      </c>
      <c r="D571" s="2" t="s">
        <v>37</v>
      </c>
      <c r="E571" s="2" t="s">
        <v>38</v>
      </c>
      <c r="F571" s="2" t="s">
        <v>2635</v>
      </c>
      <c r="G571" s="2" t="s">
        <v>2636</v>
      </c>
      <c r="H571" s="2" t="s">
        <v>2637</v>
      </c>
      <c r="I571" s="2" t="s">
        <v>2637</v>
      </c>
      <c r="J571" s="2" t="s">
        <v>2638</v>
      </c>
      <c r="K571" s="2" t="s">
        <v>58</v>
      </c>
      <c r="L571" s="2" t="s">
        <v>1784</v>
      </c>
      <c r="M571" s="2" t="s">
        <v>43</v>
      </c>
      <c r="N571" s="2" t="s">
        <v>2639</v>
      </c>
      <c r="O571" s="2">
        <v>1</v>
      </c>
      <c r="P571" s="2">
        <v>62</v>
      </c>
      <c r="Q571" s="2" t="s">
        <v>46</v>
      </c>
      <c r="R571" s="2" t="s">
        <v>47</v>
      </c>
      <c r="S571" s="2">
        <v>0</v>
      </c>
      <c r="T571" s="2">
        <v>0</v>
      </c>
      <c r="U571" s="2">
        <v>0</v>
      </c>
      <c r="V571" s="2">
        <v>0</v>
      </c>
      <c r="W571" s="2">
        <v>20</v>
      </c>
      <c r="X571" s="2" t="s">
        <v>2640</v>
      </c>
      <c r="Y571" s="2">
        <v>10</v>
      </c>
      <c r="Z571" s="2">
        <v>10</v>
      </c>
      <c r="AA571" s="2">
        <v>5</v>
      </c>
      <c r="AB571" s="2">
        <v>3</v>
      </c>
      <c r="AC571" s="2">
        <v>1</v>
      </c>
      <c r="AD571" s="2">
        <v>1</v>
      </c>
      <c r="AE571" s="2" t="s">
        <v>0</v>
      </c>
      <c r="AF571" s="2">
        <v>5</v>
      </c>
      <c r="AG571" s="2" t="s">
        <v>755</v>
      </c>
    </row>
    <row r="572" spans="1:33" ht="38.25" x14ac:dyDescent="0.2">
      <c r="A572" s="5" t="str">
        <f>HYPERLINK("http://www.patentics.cn/invokexml.do?sf=ShowPatent&amp;spn=US7680503&amp;sv=6cd73a11adbdcc6954d7f8118ac035bf","US7680503")</f>
        <v>US7680503</v>
      </c>
      <c r="B572" s="3" t="s">
        <v>2641</v>
      </c>
      <c r="C572" s="3" t="s">
        <v>2642</v>
      </c>
      <c r="D572" s="3" t="s">
        <v>52</v>
      </c>
      <c r="E572" s="3" t="s">
        <v>52</v>
      </c>
      <c r="F572" s="3" t="s">
        <v>2643</v>
      </c>
      <c r="G572" s="3" t="s">
        <v>2644</v>
      </c>
      <c r="H572" s="3" t="s">
        <v>2645</v>
      </c>
      <c r="I572" s="3" t="s">
        <v>2646</v>
      </c>
      <c r="J572" s="3" t="s">
        <v>1115</v>
      </c>
      <c r="K572" s="3" t="s">
        <v>82</v>
      </c>
      <c r="L572" s="3" t="s">
        <v>83</v>
      </c>
      <c r="M572" s="3" t="s">
        <v>82</v>
      </c>
      <c r="N572" s="3" t="s">
        <v>2647</v>
      </c>
      <c r="O572" s="3">
        <v>0</v>
      </c>
      <c r="P572" s="3">
        <v>10</v>
      </c>
      <c r="Q572" s="3" t="s">
        <v>60</v>
      </c>
      <c r="R572" s="3" t="s">
        <v>61</v>
      </c>
      <c r="S572" s="3">
        <v>22</v>
      </c>
      <c r="T572" s="3">
        <v>1</v>
      </c>
      <c r="U572" s="3">
        <v>21</v>
      </c>
      <c r="V572" s="3">
        <v>13</v>
      </c>
      <c r="W572" s="3">
        <v>0</v>
      </c>
      <c r="X572" s="3" t="s">
        <v>147</v>
      </c>
      <c r="Y572" s="3">
        <v>0</v>
      </c>
      <c r="Z572" s="3">
        <v>0</v>
      </c>
      <c r="AA572" s="3">
        <v>0</v>
      </c>
      <c r="AB572" s="3">
        <v>0</v>
      </c>
      <c r="AC572" s="3">
        <v>14</v>
      </c>
      <c r="AD572" s="3">
        <v>10</v>
      </c>
      <c r="AE572" s="3">
        <v>14</v>
      </c>
      <c r="AF572" s="3" t="s">
        <v>0</v>
      </c>
      <c r="AG572" s="3" t="s">
        <v>49</v>
      </c>
    </row>
    <row r="573" spans="1:33" ht="25.5" x14ac:dyDescent="0.2">
      <c r="A573" s="5" t="str">
        <f>HYPERLINK("http://www.patentics.cn/invokexml.do?sf=ShowPatent&amp;spn=CN100525338C&amp;sv=c5a0086c1c1b39089b779d7708d9543e","CN100525338C")</f>
        <v>CN100525338C</v>
      </c>
      <c r="B573" s="3" t="s">
        <v>2648</v>
      </c>
      <c r="C573" s="3" t="s">
        <v>2649</v>
      </c>
      <c r="D573" s="3" t="s">
        <v>338</v>
      </c>
      <c r="E573" s="3" t="s">
        <v>338</v>
      </c>
      <c r="F573" s="3" t="s">
        <v>2650</v>
      </c>
      <c r="G573" s="3" t="s">
        <v>2651</v>
      </c>
      <c r="H573" s="3" t="s">
        <v>2652</v>
      </c>
      <c r="I573" s="3" t="s">
        <v>2653</v>
      </c>
      <c r="J573" s="3" t="s">
        <v>1036</v>
      </c>
      <c r="K573" s="3" t="s">
        <v>270</v>
      </c>
      <c r="L573" s="3" t="s">
        <v>2654</v>
      </c>
      <c r="M573" s="3" t="s">
        <v>0</v>
      </c>
      <c r="N573" s="3" t="s">
        <v>0</v>
      </c>
      <c r="O573" s="3">
        <v>16</v>
      </c>
      <c r="P573" s="3">
        <v>19</v>
      </c>
      <c r="Q573" s="3" t="s">
        <v>60</v>
      </c>
      <c r="R573" s="3" t="s">
        <v>61</v>
      </c>
      <c r="S573" s="3">
        <v>5</v>
      </c>
      <c r="T573" s="3">
        <v>1</v>
      </c>
      <c r="U573" s="3">
        <v>4</v>
      </c>
      <c r="V573" s="3">
        <v>4</v>
      </c>
      <c r="W573" s="3">
        <v>0</v>
      </c>
      <c r="X573" s="3" t="s">
        <v>147</v>
      </c>
      <c r="Y573" s="3">
        <v>0</v>
      </c>
      <c r="Z573" s="3">
        <v>0</v>
      </c>
      <c r="AA573" s="3">
        <v>0</v>
      </c>
      <c r="AB573" s="3">
        <v>0</v>
      </c>
      <c r="AC573" s="3">
        <v>52</v>
      </c>
      <c r="AD573" s="3">
        <v>18</v>
      </c>
      <c r="AE573" s="3">
        <v>14</v>
      </c>
      <c r="AF573" s="3" t="s">
        <v>0</v>
      </c>
      <c r="AG573" s="3" t="s">
        <v>49</v>
      </c>
    </row>
    <row r="574" spans="1:33" ht="25.5" x14ac:dyDescent="0.2">
      <c r="A574" s="5" t="str">
        <f>HYPERLINK("http://www.patentics.cn/invokexml.do?sf=ShowPatent&amp;spn=CN101027660B&amp;sv=10644ea823d432564339e2159aa924de","CN101027660B")</f>
        <v>CN101027660B</v>
      </c>
      <c r="B574" s="3" t="s">
        <v>2655</v>
      </c>
      <c r="C574" s="3" t="s">
        <v>2656</v>
      </c>
      <c r="D574" s="3" t="s">
        <v>338</v>
      </c>
      <c r="E574" s="3" t="s">
        <v>338</v>
      </c>
      <c r="F574" s="3" t="s">
        <v>2657</v>
      </c>
      <c r="G574" s="3" t="s">
        <v>2651</v>
      </c>
      <c r="H574" s="3" t="s">
        <v>2652</v>
      </c>
      <c r="I574" s="3" t="s">
        <v>2653</v>
      </c>
      <c r="J574" s="3" t="s">
        <v>2658</v>
      </c>
      <c r="K574" s="3" t="s">
        <v>555</v>
      </c>
      <c r="L574" s="3" t="s">
        <v>556</v>
      </c>
      <c r="M574" s="3" t="s">
        <v>0</v>
      </c>
      <c r="N574" s="3" t="s">
        <v>0</v>
      </c>
      <c r="O574" s="3">
        <v>20</v>
      </c>
      <c r="P574" s="3">
        <v>18</v>
      </c>
      <c r="Q574" s="3" t="s">
        <v>60</v>
      </c>
      <c r="R574" s="3" t="s">
        <v>61</v>
      </c>
      <c r="S574" s="3">
        <v>5</v>
      </c>
      <c r="T574" s="3">
        <v>1</v>
      </c>
      <c r="U574" s="3">
        <v>4</v>
      </c>
      <c r="V574" s="3">
        <v>5</v>
      </c>
      <c r="W574" s="3">
        <v>0</v>
      </c>
      <c r="X574" s="3" t="s">
        <v>147</v>
      </c>
      <c r="Y574" s="3">
        <v>0</v>
      </c>
      <c r="Z574" s="3">
        <v>0</v>
      </c>
      <c r="AA574" s="3">
        <v>0</v>
      </c>
      <c r="AB574" s="3">
        <v>0</v>
      </c>
      <c r="AC574" s="3">
        <v>52</v>
      </c>
      <c r="AD574" s="3">
        <v>18</v>
      </c>
      <c r="AE574" s="3">
        <v>14</v>
      </c>
      <c r="AF574" s="3" t="s">
        <v>0</v>
      </c>
      <c r="AG574" s="3" t="s">
        <v>49</v>
      </c>
    </row>
    <row r="575" spans="1:33" ht="25.5" x14ac:dyDescent="0.2">
      <c r="A575" s="5" t="str">
        <f>HYPERLINK("http://www.patentics.cn/invokexml.do?sf=ShowPatent&amp;spn=CN101026803B&amp;sv=b3b0d5cf89842477736b10de588fb2c7","CN101026803B")</f>
        <v>CN101026803B</v>
      </c>
      <c r="B575" s="3" t="s">
        <v>2659</v>
      </c>
      <c r="C575" s="3" t="s">
        <v>2660</v>
      </c>
      <c r="D575" s="3" t="s">
        <v>338</v>
      </c>
      <c r="E575" s="3" t="s">
        <v>338</v>
      </c>
      <c r="F575" s="3" t="s">
        <v>2661</v>
      </c>
      <c r="G575" s="3" t="s">
        <v>2662</v>
      </c>
      <c r="H575" s="3" t="s">
        <v>2663</v>
      </c>
      <c r="I575" s="3" t="s">
        <v>2664</v>
      </c>
      <c r="J575" s="3" t="s">
        <v>2665</v>
      </c>
      <c r="K575" s="3" t="s">
        <v>82</v>
      </c>
      <c r="L575" s="3" t="s">
        <v>1957</v>
      </c>
      <c r="M575" s="3" t="s">
        <v>0</v>
      </c>
      <c r="N575" s="3" t="s">
        <v>0</v>
      </c>
      <c r="O575" s="3">
        <v>24</v>
      </c>
      <c r="P575" s="3">
        <v>12</v>
      </c>
      <c r="Q575" s="3" t="s">
        <v>60</v>
      </c>
      <c r="R575" s="3" t="s">
        <v>61</v>
      </c>
      <c r="S575" s="3">
        <v>6</v>
      </c>
      <c r="T575" s="3">
        <v>1</v>
      </c>
      <c r="U575" s="3">
        <v>5</v>
      </c>
      <c r="V575" s="3">
        <v>5</v>
      </c>
      <c r="W575" s="3">
        <v>0</v>
      </c>
      <c r="X575" s="3" t="s">
        <v>147</v>
      </c>
      <c r="Y575" s="3">
        <v>0</v>
      </c>
      <c r="Z575" s="3">
        <v>0</v>
      </c>
      <c r="AA575" s="3">
        <v>0</v>
      </c>
      <c r="AB575" s="3">
        <v>0</v>
      </c>
      <c r="AC575" s="3">
        <v>51</v>
      </c>
      <c r="AD575" s="3">
        <v>18</v>
      </c>
      <c r="AE575" s="3">
        <v>14</v>
      </c>
      <c r="AF575" s="3" t="s">
        <v>0</v>
      </c>
      <c r="AG575" s="3" t="s">
        <v>49</v>
      </c>
    </row>
    <row r="576" spans="1:33" ht="25.5" x14ac:dyDescent="0.2">
      <c r="A576" s="5" t="str">
        <f>HYPERLINK("http://www.patentics.cn/invokexml.do?sf=ShowPatent&amp;spn=CN1679356B&amp;sv=72bbe9ffee484a8a46aa958ec3bfe0ee","CN1679356B")</f>
        <v>CN1679356B</v>
      </c>
      <c r="B576" s="3" t="s">
        <v>2666</v>
      </c>
      <c r="C576" s="3" t="s">
        <v>2660</v>
      </c>
      <c r="D576" s="3" t="s">
        <v>338</v>
      </c>
      <c r="E576" s="3" t="s">
        <v>338</v>
      </c>
      <c r="F576" s="3" t="s">
        <v>2661</v>
      </c>
      <c r="G576" s="3" t="s">
        <v>2662</v>
      </c>
      <c r="H576" s="3" t="s">
        <v>2663</v>
      </c>
      <c r="I576" s="3" t="s">
        <v>2664</v>
      </c>
      <c r="J576" s="3" t="s">
        <v>2667</v>
      </c>
      <c r="K576" s="3" t="s">
        <v>82</v>
      </c>
      <c r="L576" s="3" t="s">
        <v>2668</v>
      </c>
      <c r="M576" s="3" t="s">
        <v>0</v>
      </c>
      <c r="N576" s="3" t="s">
        <v>0</v>
      </c>
      <c r="O576" s="3">
        <v>15</v>
      </c>
      <c r="P576" s="3">
        <v>18</v>
      </c>
      <c r="Q576" s="3" t="s">
        <v>60</v>
      </c>
      <c r="R576" s="3" t="s">
        <v>61</v>
      </c>
      <c r="S576" s="3">
        <v>5</v>
      </c>
      <c r="T576" s="3">
        <v>0</v>
      </c>
      <c r="U576" s="3">
        <v>5</v>
      </c>
      <c r="V576" s="3">
        <v>4</v>
      </c>
      <c r="W576" s="3">
        <v>0</v>
      </c>
      <c r="X576" s="3" t="s">
        <v>147</v>
      </c>
      <c r="Y576" s="3">
        <v>0</v>
      </c>
      <c r="Z576" s="3">
        <v>0</v>
      </c>
      <c r="AA576" s="3">
        <v>0</v>
      </c>
      <c r="AB576" s="3">
        <v>0</v>
      </c>
      <c r="AC576" s="3">
        <v>51</v>
      </c>
      <c r="AD576" s="3">
        <v>18</v>
      </c>
      <c r="AE576" s="3">
        <v>14</v>
      </c>
      <c r="AF576" s="3" t="s">
        <v>0</v>
      </c>
      <c r="AG576" s="3" t="s">
        <v>49</v>
      </c>
    </row>
    <row r="577" spans="1:33" ht="89.25" x14ac:dyDescent="0.2">
      <c r="A577" s="4" t="str">
        <f>HYPERLINK("http://www.patentics.cn/invokexml.do?sf=ShowPatent&amp;spn=US20130021957&amp;sv=8eb851a703ec9e448d53840f6a91f27f","US20130021957")</f>
        <v>US20130021957</v>
      </c>
      <c r="B577" s="2" t="s">
        <v>2669</v>
      </c>
      <c r="C577" s="2" t="s">
        <v>2670</v>
      </c>
      <c r="D577" s="2" t="s">
        <v>1394</v>
      </c>
      <c r="E577" s="2" t="s">
        <v>1394</v>
      </c>
      <c r="F577" s="2" t="s">
        <v>2671</v>
      </c>
      <c r="G577" s="2" t="s">
        <v>1006</v>
      </c>
      <c r="H577" s="2" t="s">
        <v>2672</v>
      </c>
      <c r="I577" s="2" t="s">
        <v>2673</v>
      </c>
      <c r="J577" s="2" t="s">
        <v>1773</v>
      </c>
      <c r="K577" s="2" t="s">
        <v>82</v>
      </c>
      <c r="L577" s="2" t="s">
        <v>516</v>
      </c>
      <c r="M577" s="2" t="s">
        <v>0</v>
      </c>
      <c r="N577" s="2" t="s">
        <v>0</v>
      </c>
      <c r="O577" s="2">
        <v>15</v>
      </c>
      <c r="P577" s="2">
        <v>9</v>
      </c>
      <c r="Q577" s="2" t="s">
        <v>352</v>
      </c>
      <c r="R577" s="2" t="s">
        <v>47</v>
      </c>
      <c r="S577" s="2">
        <v>0</v>
      </c>
      <c r="T577" s="2">
        <v>0</v>
      </c>
      <c r="U577" s="2">
        <v>0</v>
      </c>
      <c r="V577" s="2">
        <v>0</v>
      </c>
      <c r="W577" s="2">
        <v>11</v>
      </c>
      <c r="X577" s="2" t="s">
        <v>2674</v>
      </c>
      <c r="Y577" s="2">
        <v>1</v>
      </c>
      <c r="Z577" s="2">
        <v>10</v>
      </c>
      <c r="AA577" s="2">
        <v>4</v>
      </c>
      <c r="AB577" s="2">
        <v>3</v>
      </c>
      <c r="AC577" s="2">
        <v>2</v>
      </c>
      <c r="AD577" s="2">
        <v>2</v>
      </c>
      <c r="AE577" s="2" t="s">
        <v>0</v>
      </c>
      <c r="AF577" s="2">
        <v>5</v>
      </c>
      <c r="AG577" s="2" t="s">
        <v>49</v>
      </c>
    </row>
    <row r="578" spans="1:33" ht="25.5" x14ac:dyDescent="0.2">
      <c r="A578" s="5" t="str">
        <f>HYPERLINK("http://www.patentics.cn/invokexml.do?sf=ShowPatent&amp;spn=US9125031&amp;sv=26f714eb3112e628e399d8eaa01eff34","US9125031")</f>
        <v>US9125031</v>
      </c>
      <c r="B578" s="3" t="s">
        <v>2675</v>
      </c>
      <c r="C578" s="3" t="s">
        <v>2676</v>
      </c>
      <c r="D578" s="3" t="s">
        <v>52</v>
      </c>
      <c r="E578" s="3" t="s">
        <v>52</v>
      </c>
      <c r="F578" s="3" t="s">
        <v>2677</v>
      </c>
      <c r="G578" s="3" t="s">
        <v>2677</v>
      </c>
      <c r="H578" s="3" t="s">
        <v>2678</v>
      </c>
      <c r="I578" s="3" t="s">
        <v>2679</v>
      </c>
      <c r="J578" s="3" t="s">
        <v>816</v>
      </c>
      <c r="K578" s="3" t="s">
        <v>82</v>
      </c>
      <c r="L578" s="3" t="s">
        <v>83</v>
      </c>
      <c r="M578" s="3" t="s">
        <v>0</v>
      </c>
      <c r="N578" s="3" t="s">
        <v>0</v>
      </c>
      <c r="O578" s="3">
        <v>0</v>
      </c>
      <c r="P578" s="3">
        <v>15</v>
      </c>
      <c r="Q578" s="3" t="s">
        <v>60</v>
      </c>
      <c r="R578" s="3" t="s">
        <v>61</v>
      </c>
      <c r="S578" s="3">
        <v>12</v>
      </c>
      <c r="T578" s="3">
        <v>0</v>
      </c>
      <c r="U578" s="3">
        <v>12</v>
      </c>
      <c r="V578" s="3">
        <v>9</v>
      </c>
      <c r="W578" s="3">
        <v>0</v>
      </c>
      <c r="X578" s="3" t="s">
        <v>147</v>
      </c>
      <c r="Y578" s="3">
        <v>0</v>
      </c>
      <c r="Z578" s="3">
        <v>0</v>
      </c>
      <c r="AA578" s="3">
        <v>0</v>
      </c>
      <c r="AB578" s="3">
        <v>0</v>
      </c>
      <c r="AC578" s="3">
        <v>6</v>
      </c>
      <c r="AD578" s="3">
        <v>6</v>
      </c>
      <c r="AE578" s="3">
        <v>14</v>
      </c>
      <c r="AF578" s="3" t="s">
        <v>0</v>
      </c>
      <c r="AG578" s="3" t="s">
        <v>49</v>
      </c>
    </row>
    <row r="579" spans="1:33" ht="267.75" x14ac:dyDescent="0.2">
      <c r="A579" s="5" t="str">
        <f>HYPERLINK("http://www.patentics.cn/invokexml.do?sf=ShowPatent&amp;spn=US9167505&amp;sv=c861a8245de70f2f8a2826a71282a588","US9167505")</f>
        <v>US9167505</v>
      </c>
      <c r="B579" s="3" t="s">
        <v>2680</v>
      </c>
      <c r="C579" s="3" t="s">
        <v>2681</v>
      </c>
      <c r="D579" s="3" t="s">
        <v>52</v>
      </c>
      <c r="E579" s="3" t="s">
        <v>52</v>
      </c>
      <c r="F579" s="3" t="s">
        <v>2682</v>
      </c>
      <c r="G579" s="3" t="s">
        <v>2239</v>
      </c>
      <c r="H579" s="3" t="s">
        <v>2683</v>
      </c>
      <c r="I579" s="3" t="s">
        <v>2684</v>
      </c>
      <c r="J579" s="3" t="s">
        <v>1276</v>
      </c>
      <c r="K579" s="3" t="s">
        <v>555</v>
      </c>
      <c r="L579" s="3" t="s">
        <v>2685</v>
      </c>
      <c r="M579" s="3" t="s">
        <v>82</v>
      </c>
      <c r="N579" s="3" t="s">
        <v>2027</v>
      </c>
      <c r="O579" s="3">
        <v>0</v>
      </c>
      <c r="P579" s="3">
        <v>12</v>
      </c>
      <c r="Q579" s="3" t="s">
        <v>60</v>
      </c>
      <c r="R579" s="3" t="s">
        <v>61</v>
      </c>
      <c r="S579" s="3">
        <v>150</v>
      </c>
      <c r="T579" s="3">
        <v>14</v>
      </c>
      <c r="U579" s="3">
        <v>136</v>
      </c>
      <c r="V579" s="3">
        <v>57</v>
      </c>
      <c r="W579" s="3">
        <v>42</v>
      </c>
      <c r="X579" s="3" t="s">
        <v>1186</v>
      </c>
      <c r="Y579" s="3">
        <v>0</v>
      </c>
      <c r="Z579" s="3">
        <v>42</v>
      </c>
      <c r="AA579" s="3">
        <v>1</v>
      </c>
      <c r="AB579" s="3">
        <v>2</v>
      </c>
      <c r="AC579" s="3">
        <v>77</v>
      </c>
      <c r="AD579" s="3">
        <v>17</v>
      </c>
      <c r="AE579" s="3">
        <v>14</v>
      </c>
      <c r="AF579" s="3" t="s">
        <v>0</v>
      </c>
      <c r="AG579" s="3" t="s">
        <v>49</v>
      </c>
    </row>
    <row r="580" spans="1:33" ht="38.25" x14ac:dyDescent="0.2">
      <c r="A580" s="5" t="str">
        <f>HYPERLINK("http://www.patentics.cn/invokexml.do?sf=ShowPatent&amp;spn=US9462550&amp;sv=97fa2e95cd6b5be3d4a411b73c67fe03","US9462550")</f>
        <v>US9462550</v>
      </c>
      <c r="B580" s="3" t="s">
        <v>2686</v>
      </c>
      <c r="C580" s="3" t="s">
        <v>2687</v>
      </c>
      <c r="D580" s="3" t="s">
        <v>52</v>
      </c>
      <c r="E580" s="3" t="s">
        <v>52</v>
      </c>
      <c r="F580" s="3" t="s">
        <v>2688</v>
      </c>
      <c r="G580" s="3" t="s">
        <v>2689</v>
      </c>
      <c r="H580" s="3" t="s">
        <v>2690</v>
      </c>
      <c r="I580" s="3" t="s">
        <v>2691</v>
      </c>
      <c r="J580" s="3" t="s">
        <v>329</v>
      </c>
      <c r="K580" s="3" t="s">
        <v>82</v>
      </c>
      <c r="L580" s="3" t="s">
        <v>83</v>
      </c>
      <c r="M580" s="3" t="s">
        <v>82</v>
      </c>
      <c r="N580" s="3" t="s">
        <v>2692</v>
      </c>
      <c r="O580" s="3">
        <v>0</v>
      </c>
      <c r="P580" s="3">
        <v>10</v>
      </c>
      <c r="Q580" s="3" t="s">
        <v>60</v>
      </c>
      <c r="R580" s="3" t="s">
        <v>61</v>
      </c>
      <c r="S580" s="3">
        <v>19</v>
      </c>
      <c r="T580" s="3">
        <v>1</v>
      </c>
      <c r="U580" s="3">
        <v>18</v>
      </c>
      <c r="V580" s="3">
        <v>12</v>
      </c>
      <c r="W580" s="3">
        <v>0</v>
      </c>
      <c r="X580" s="3" t="s">
        <v>147</v>
      </c>
      <c r="Y580" s="3">
        <v>0</v>
      </c>
      <c r="Z580" s="3">
        <v>0</v>
      </c>
      <c r="AA580" s="3">
        <v>0</v>
      </c>
      <c r="AB580" s="3">
        <v>0</v>
      </c>
      <c r="AC580" s="3">
        <v>6</v>
      </c>
      <c r="AD580" s="3">
        <v>6</v>
      </c>
      <c r="AE580" s="3">
        <v>14</v>
      </c>
      <c r="AF580" s="3" t="s">
        <v>0</v>
      </c>
      <c r="AG580" s="3" t="s">
        <v>49</v>
      </c>
    </row>
    <row r="581" spans="1:33" ht="38.25" x14ac:dyDescent="0.2">
      <c r="A581" s="5" t="str">
        <f>HYPERLINK("http://www.patentics.cn/invokexml.do?sf=ShowPatent&amp;spn=WO2014182770&amp;sv=7520e543b629d81104deebb4a91ae8fe","WO2014182770")</f>
        <v>WO2014182770</v>
      </c>
      <c r="B581" s="3" t="s">
        <v>2693</v>
      </c>
      <c r="C581" s="3" t="s">
        <v>2694</v>
      </c>
      <c r="D581" s="3" t="s">
        <v>52</v>
      </c>
      <c r="E581" s="3" t="s">
        <v>52</v>
      </c>
      <c r="F581" s="3" t="s">
        <v>2695</v>
      </c>
      <c r="G581" s="3" t="s">
        <v>2696</v>
      </c>
      <c r="H581" s="3" t="s">
        <v>2690</v>
      </c>
      <c r="I581" s="3" t="s">
        <v>2697</v>
      </c>
      <c r="J581" s="3" t="s">
        <v>2698</v>
      </c>
      <c r="K581" s="3" t="s">
        <v>82</v>
      </c>
      <c r="L581" s="3" t="s">
        <v>516</v>
      </c>
      <c r="M581" s="3" t="s">
        <v>0</v>
      </c>
      <c r="N581" s="3" t="s">
        <v>0</v>
      </c>
      <c r="O581" s="3">
        <v>52</v>
      </c>
      <c r="P581" s="3">
        <v>7</v>
      </c>
      <c r="Q581" s="3" t="s">
        <v>352</v>
      </c>
      <c r="R581" s="3" t="s">
        <v>61</v>
      </c>
      <c r="S581" s="3">
        <v>7</v>
      </c>
      <c r="T581" s="3">
        <v>0</v>
      </c>
      <c r="U581" s="3">
        <v>7</v>
      </c>
      <c r="V581" s="3">
        <v>5</v>
      </c>
      <c r="W581" s="3">
        <v>0</v>
      </c>
      <c r="X581" s="3" t="s">
        <v>147</v>
      </c>
      <c r="Y581" s="3">
        <v>0</v>
      </c>
      <c r="Z581" s="3">
        <v>0</v>
      </c>
      <c r="AA581" s="3">
        <v>0</v>
      </c>
      <c r="AB581" s="3">
        <v>0</v>
      </c>
      <c r="AC581" s="3">
        <v>6</v>
      </c>
      <c r="AD581" s="3">
        <v>6</v>
      </c>
      <c r="AE581" s="3">
        <v>14</v>
      </c>
      <c r="AF581" s="3" t="s">
        <v>0</v>
      </c>
      <c r="AG581" s="3" t="s">
        <v>0</v>
      </c>
    </row>
    <row r="582" spans="1:33" ht="38.25" x14ac:dyDescent="0.2">
      <c r="A582" s="5" t="str">
        <f>HYPERLINK("http://www.patentics.cn/invokexml.do?sf=ShowPatent&amp;spn=EP2995136B1&amp;sv=87425e0c540c374ae0b9c385c8f107ee","EP2995136B1")</f>
        <v>EP2995136B1</v>
      </c>
      <c r="B582" s="3" t="s">
        <v>2699</v>
      </c>
      <c r="C582" s="3" t="s">
        <v>2694</v>
      </c>
      <c r="D582" s="3" t="s">
        <v>52</v>
      </c>
      <c r="E582" s="3" t="s">
        <v>52</v>
      </c>
      <c r="F582" s="3" t="s">
        <v>2700</v>
      </c>
      <c r="G582" s="3" t="s">
        <v>2701</v>
      </c>
      <c r="H582" s="3" t="s">
        <v>0</v>
      </c>
      <c r="I582" s="3" t="s">
        <v>2697</v>
      </c>
      <c r="J582" s="3" t="s">
        <v>2702</v>
      </c>
      <c r="K582" s="3" t="s">
        <v>82</v>
      </c>
      <c r="L582" s="3" t="s">
        <v>2703</v>
      </c>
      <c r="M582" s="3" t="s">
        <v>0</v>
      </c>
      <c r="N582" s="3" t="s">
        <v>0</v>
      </c>
      <c r="O582" s="3">
        <v>15</v>
      </c>
      <c r="P582" s="3">
        <v>10</v>
      </c>
      <c r="Q582" s="3" t="s">
        <v>60</v>
      </c>
      <c r="R582" s="3" t="s">
        <v>2704</v>
      </c>
      <c r="S582" s="3">
        <v>7</v>
      </c>
      <c r="T582" s="3">
        <v>0</v>
      </c>
      <c r="U582" s="3">
        <v>7</v>
      </c>
      <c r="V582" s="3">
        <v>5</v>
      </c>
      <c r="W582" s="3">
        <v>0</v>
      </c>
      <c r="X582" s="3" t="s">
        <v>147</v>
      </c>
      <c r="Y582" s="3">
        <v>0</v>
      </c>
      <c r="Z582" s="3">
        <v>0</v>
      </c>
      <c r="AA582" s="3">
        <v>0</v>
      </c>
      <c r="AB582" s="3">
        <v>0</v>
      </c>
      <c r="AC582" s="3">
        <v>0</v>
      </c>
      <c r="AD582" s="3">
        <v>0</v>
      </c>
      <c r="AE582" s="3">
        <v>14</v>
      </c>
      <c r="AF582" s="3" t="s">
        <v>0</v>
      </c>
      <c r="AG582" s="3" t="s">
        <v>0</v>
      </c>
    </row>
    <row r="583" spans="1:33" ht="38.25" x14ac:dyDescent="0.2">
      <c r="A583" s="4" t="str">
        <f>HYPERLINK("http://www.patentics.cn/invokexml.do?sf=ShowPatent&amp;spn=WO2012028025&amp;sv=5f33a464387ec40f08d1c2b6b884468c","WO2012028025")</f>
        <v>WO2012028025</v>
      </c>
      <c r="B583" s="2" t="s">
        <v>2705</v>
      </c>
      <c r="C583" s="2" t="s">
        <v>2706</v>
      </c>
      <c r="D583" s="2" t="s">
        <v>2707</v>
      </c>
      <c r="E583" s="2" t="s">
        <v>2707</v>
      </c>
      <c r="F583" s="2" t="s">
        <v>2708</v>
      </c>
      <c r="G583" s="2" t="s">
        <v>2709</v>
      </c>
      <c r="H583" s="2" t="s">
        <v>2710</v>
      </c>
      <c r="I583" s="2" t="s">
        <v>2711</v>
      </c>
      <c r="J583" s="2" t="s">
        <v>1451</v>
      </c>
      <c r="K583" s="2" t="s">
        <v>82</v>
      </c>
      <c r="L583" s="2" t="s">
        <v>2712</v>
      </c>
      <c r="M583" s="2" t="s">
        <v>0</v>
      </c>
      <c r="N583" s="2" t="s">
        <v>0</v>
      </c>
      <c r="O583" s="2">
        <v>4</v>
      </c>
      <c r="P583" s="2">
        <v>20</v>
      </c>
      <c r="Q583" s="2" t="s">
        <v>352</v>
      </c>
      <c r="R583" s="2" t="s">
        <v>47</v>
      </c>
      <c r="S583" s="2">
        <v>4</v>
      </c>
      <c r="T583" s="2">
        <v>0</v>
      </c>
      <c r="U583" s="2">
        <v>4</v>
      </c>
      <c r="V583" s="2">
        <v>3</v>
      </c>
      <c r="W583" s="2">
        <v>8</v>
      </c>
      <c r="X583" s="2" t="s">
        <v>2713</v>
      </c>
      <c r="Y583" s="2">
        <v>0</v>
      </c>
      <c r="Z583" s="2">
        <v>8</v>
      </c>
      <c r="AA583" s="2">
        <v>4</v>
      </c>
      <c r="AB583" s="2">
        <v>3</v>
      </c>
      <c r="AC583" s="2">
        <v>4</v>
      </c>
      <c r="AD583" s="2">
        <v>4</v>
      </c>
      <c r="AE583" s="2" t="s">
        <v>0</v>
      </c>
      <c r="AF583" s="2">
        <v>4</v>
      </c>
      <c r="AG583" s="2" t="s">
        <v>0</v>
      </c>
    </row>
    <row r="584" spans="1:33" ht="76.5" x14ac:dyDescent="0.2">
      <c r="A584" s="5" t="str">
        <f>HYPERLINK("http://www.patentics.cn/invokexml.do?sf=ShowPatent&amp;spn=US9584297&amp;sv=d3b1c65abf623095fce88fae27f87b1d","US9584297")</f>
        <v>US9584297</v>
      </c>
      <c r="B584" s="3" t="s">
        <v>2714</v>
      </c>
      <c r="C584" s="3" t="s">
        <v>2715</v>
      </c>
      <c r="D584" s="3" t="s">
        <v>52</v>
      </c>
      <c r="E584" s="3" t="s">
        <v>52</v>
      </c>
      <c r="F584" s="3" t="s">
        <v>2716</v>
      </c>
      <c r="G584" s="3" t="s">
        <v>1874</v>
      </c>
      <c r="H584" s="3" t="s">
        <v>2717</v>
      </c>
      <c r="I584" s="3" t="s">
        <v>2690</v>
      </c>
      <c r="J584" s="3" t="s">
        <v>2718</v>
      </c>
      <c r="K584" s="3" t="s">
        <v>58</v>
      </c>
      <c r="L584" s="3" t="s">
        <v>2719</v>
      </c>
      <c r="M584" s="3" t="s">
        <v>58</v>
      </c>
      <c r="N584" s="3" t="s">
        <v>2720</v>
      </c>
      <c r="O584" s="3">
        <v>0</v>
      </c>
      <c r="P584" s="3">
        <v>26</v>
      </c>
      <c r="Q584" s="3" t="s">
        <v>60</v>
      </c>
      <c r="R584" s="3" t="s">
        <v>61</v>
      </c>
      <c r="S584" s="3">
        <v>35</v>
      </c>
      <c r="T584" s="3">
        <v>3</v>
      </c>
      <c r="U584" s="3">
        <v>32</v>
      </c>
      <c r="V584" s="3">
        <v>20</v>
      </c>
      <c r="W584" s="3">
        <v>0</v>
      </c>
      <c r="X584" s="3" t="s">
        <v>147</v>
      </c>
      <c r="Y584" s="3">
        <v>0</v>
      </c>
      <c r="Z584" s="3">
        <v>0</v>
      </c>
      <c r="AA584" s="3">
        <v>0</v>
      </c>
      <c r="AB584" s="3">
        <v>0</v>
      </c>
      <c r="AC584" s="3">
        <v>8</v>
      </c>
      <c r="AD584" s="3">
        <v>6</v>
      </c>
      <c r="AE584" s="3">
        <v>14</v>
      </c>
      <c r="AF584" s="3" t="s">
        <v>0</v>
      </c>
      <c r="AG584" s="3" t="s">
        <v>49</v>
      </c>
    </row>
    <row r="585" spans="1:33" ht="63.75" x14ac:dyDescent="0.2">
      <c r="A585" s="5" t="str">
        <f>HYPERLINK("http://www.patentics.cn/invokexml.do?sf=ShowPatent&amp;spn=WO2013170220&amp;sv=2fd41622d73785e29dc7fd7de712ad1f","WO2013170220")</f>
        <v>WO2013170220</v>
      </c>
      <c r="B585" s="3" t="s">
        <v>2721</v>
      </c>
      <c r="C585" s="3" t="s">
        <v>2722</v>
      </c>
      <c r="D585" s="3" t="s">
        <v>52</v>
      </c>
      <c r="E585" s="3" t="s">
        <v>52</v>
      </c>
      <c r="F585" s="3" t="s">
        <v>2723</v>
      </c>
      <c r="G585" s="3" t="s">
        <v>2724</v>
      </c>
      <c r="H585" s="3" t="s">
        <v>2717</v>
      </c>
      <c r="I585" s="3" t="s">
        <v>2725</v>
      </c>
      <c r="J585" s="3" t="s">
        <v>2726</v>
      </c>
      <c r="K585" s="3" t="s">
        <v>0</v>
      </c>
      <c r="L585" s="3" t="s">
        <v>0</v>
      </c>
      <c r="M585" s="3" t="s">
        <v>0</v>
      </c>
      <c r="N585" s="3" t="s">
        <v>0</v>
      </c>
      <c r="O585" s="3">
        <v>16</v>
      </c>
      <c r="P585" s="3">
        <v>8</v>
      </c>
      <c r="Q585" s="3" t="s">
        <v>352</v>
      </c>
      <c r="R585" s="3" t="s">
        <v>61</v>
      </c>
      <c r="S585" s="3">
        <v>4</v>
      </c>
      <c r="T585" s="3">
        <v>0</v>
      </c>
      <c r="U585" s="3">
        <v>4</v>
      </c>
      <c r="V585" s="3">
        <v>3</v>
      </c>
      <c r="W585" s="3">
        <v>0</v>
      </c>
      <c r="X585" s="3" t="s">
        <v>147</v>
      </c>
      <c r="Y585" s="3">
        <v>0</v>
      </c>
      <c r="Z585" s="3">
        <v>0</v>
      </c>
      <c r="AA585" s="3">
        <v>0</v>
      </c>
      <c r="AB585" s="3">
        <v>0</v>
      </c>
      <c r="AC585" s="3">
        <v>8</v>
      </c>
      <c r="AD585" s="3">
        <v>6</v>
      </c>
      <c r="AE585" s="3">
        <v>14</v>
      </c>
      <c r="AF585" s="3" t="s">
        <v>0</v>
      </c>
      <c r="AG585" s="3" t="s">
        <v>0</v>
      </c>
    </row>
    <row r="586" spans="1:33" ht="89.25" x14ac:dyDescent="0.2">
      <c r="A586" s="5" t="str">
        <f>HYPERLINK("http://www.patentics.cn/invokexml.do?sf=ShowPatent&amp;spn=WO2014040274&amp;sv=526e35528f097faf165a5810c7e6fe05","WO2014040274")</f>
        <v>WO2014040274</v>
      </c>
      <c r="B586" s="3" t="s">
        <v>2727</v>
      </c>
      <c r="C586" s="3" t="s">
        <v>2728</v>
      </c>
      <c r="D586" s="3" t="s">
        <v>2729</v>
      </c>
      <c r="E586" s="3" t="s">
        <v>2730</v>
      </c>
      <c r="F586" s="3" t="s">
        <v>2731</v>
      </c>
      <c r="G586" s="3" t="s">
        <v>2732</v>
      </c>
      <c r="H586" s="3" t="s">
        <v>324</v>
      </c>
      <c r="I586" s="3" t="s">
        <v>324</v>
      </c>
      <c r="J586" s="3" t="s">
        <v>2733</v>
      </c>
      <c r="K586" s="3" t="s">
        <v>58</v>
      </c>
      <c r="L586" s="3" t="s">
        <v>2734</v>
      </c>
      <c r="M586" s="3" t="s">
        <v>0</v>
      </c>
      <c r="N586" s="3" t="s">
        <v>0</v>
      </c>
      <c r="O586" s="3">
        <v>35</v>
      </c>
      <c r="P586" s="3">
        <v>11</v>
      </c>
      <c r="Q586" s="3" t="s">
        <v>352</v>
      </c>
      <c r="R586" s="3" t="s">
        <v>47</v>
      </c>
      <c r="S586" s="3">
        <v>3</v>
      </c>
      <c r="T586" s="3">
        <v>0</v>
      </c>
      <c r="U586" s="3">
        <v>3</v>
      </c>
      <c r="V586" s="3">
        <v>3</v>
      </c>
      <c r="W586" s="3">
        <v>1</v>
      </c>
      <c r="X586" s="3" t="s">
        <v>1206</v>
      </c>
      <c r="Y586" s="3">
        <v>0</v>
      </c>
      <c r="Z586" s="3">
        <v>1</v>
      </c>
      <c r="AA586" s="3">
        <v>1</v>
      </c>
      <c r="AB586" s="3">
        <v>1</v>
      </c>
      <c r="AC586" s="3">
        <v>4</v>
      </c>
      <c r="AD586" s="3">
        <v>4</v>
      </c>
      <c r="AE586" s="3">
        <v>14</v>
      </c>
      <c r="AF586" s="3" t="s">
        <v>0</v>
      </c>
      <c r="AG586" s="3" t="s">
        <v>0</v>
      </c>
    </row>
    <row r="587" spans="1:33" ht="89.25" x14ac:dyDescent="0.2">
      <c r="A587" s="5" t="str">
        <f>HYPERLINK("http://www.patentics.cn/invokexml.do?sf=ShowPatent&amp;spn=WO2014040546&amp;sv=90d466ca242e169527a38efbbad7d6de","WO2014040546")</f>
        <v>WO2014040546</v>
      </c>
      <c r="B587" s="3" t="s">
        <v>2735</v>
      </c>
      <c r="C587" s="3" t="s">
        <v>2736</v>
      </c>
      <c r="D587" s="3" t="s">
        <v>2737</v>
      </c>
      <c r="E587" s="3" t="s">
        <v>2738</v>
      </c>
      <c r="F587" s="3" t="s">
        <v>2739</v>
      </c>
      <c r="G587" s="3" t="s">
        <v>2732</v>
      </c>
      <c r="H587" s="3" t="s">
        <v>324</v>
      </c>
      <c r="I587" s="3" t="s">
        <v>2740</v>
      </c>
      <c r="J587" s="3" t="s">
        <v>2733</v>
      </c>
      <c r="K587" s="3" t="s">
        <v>58</v>
      </c>
      <c r="L587" s="3" t="s">
        <v>2734</v>
      </c>
      <c r="M587" s="3" t="s">
        <v>0</v>
      </c>
      <c r="N587" s="3" t="s">
        <v>0</v>
      </c>
      <c r="O587" s="3">
        <v>30</v>
      </c>
      <c r="P587" s="3">
        <v>12</v>
      </c>
      <c r="Q587" s="3" t="s">
        <v>352</v>
      </c>
      <c r="R587" s="3" t="s">
        <v>47</v>
      </c>
      <c r="S587" s="3">
        <v>3</v>
      </c>
      <c r="T587" s="3">
        <v>0</v>
      </c>
      <c r="U587" s="3">
        <v>3</v>
      </c>
      <c r="V587" s="3">
        <v>3</v>
      </c>
      <c r="W587" s="3">
        <v>0</v>
      </c>
      <c r="X587" s="3" t="s">
        <v>147</v>
      </c>
      <c r="Y587" s="3">
        <v>0</v>
      </c>
      <c r="Z587" s="3">
        <v>0</v>
      </c>
      <c r="AA587" s="3">
        <v>0</v>
      </c>
      <c r="AB587" s="3">
        <v>0</v>
      </c>
      <c r="AC587" s="3">
        <v>4</v>
      </c>
      <c r="AD587" s="3">
        <v>4</v>
      </c>
      <c r="AE587" s="3">
        <v>14</v>
      </c>
      <c r="AF587" s="3" t="s">
        <v>0</v>
      </c>
      <c r="AG587" s="3" t="s">
        <v>0</v>
      </c>
    </row>
    <row r="588" spans="1:33" ht="51" x14ac:dyDescent="0.2">
      <c r="A588" s="4" t="str">
        <f>HYPERLINK("http://www.patentics.cn/invokexml.do?sf=ShowPatent&amp;spn=WO2010020134&amp;sv=65e1a5de0216eccee0895ba3c8944804","WO2010020134")</f>
        <v>WO2010020134</v>
      </c>
      <c r="B588" s="2" t="s">
        <v>2741</v>
      </c>
      <c r="C588" s="2" t="s">
        <v>2742</v>
      </c>
      <c r="D588" s="2" t="s">
        <v>2743</v>
      </c>
      <c r="E588" s="2" t="s">
        <v>2743</v>
      </c>
      <c r="F588" s="2" t="s">
        <v>2744</v>
      </c>
      <c r="G588" s="2" t="s">
        <v>2745</v>
      </c>
      <c r="H588" s="2" t="s">
        <v>2746</v>
      </c>
      <c r="I588" s="2" t="s">
        <v>1008</v>
      </c>
      <c r="J588" s="2" t="s">
        <v>2747</v>
      </c>
      <c r="K588" s="2" t="s">
        <v>58</v>
      </c>
      <c r="L588" s="2" t="s">
        <v>326</v>
      </c>
      <c r="M588" s="2" t="s">
        <v>0</v>
      </c>
      <c r="N588" s="2" t="s">
        <v>0</v>
      </c>
      <c r="O588" s="2">
        <v>0</v>
      </c>
      <c r="P588" s="2">
        <v>0</v>
      </c>
      <c r="Q588" s="2" t="s">
        <v>352</v>
      </c>
      <c r="R588" s="2" t="s">
        <v>47</v>
      </c>
      <c r="S588" s="2">
        <v>2</v>
      </c>
      <c r="T588" s="2">
        <v>2</v>
      </c>
      <c r="U588" s="2">
        <v>0</v>
      </c>
      <c r="V588" s="2">
        <v>1</v>
      </c>
      <c r="W588" s="2">
        <v>6</v>
      </c>
      <c r="X588" s="2" t="s">
        <v>2748</v>
      </c>
      <c r="Y588" s="2">
        <v>0</v>
      </c>
      <c r="Z588" s="2">
        <v>6</v>
      </c>
      <c r="AA588" s="2">
        <v>3</v>
      </c>
      <c r="AB588" s="2">
        <v>2</v>
      </c>
      <c r="AC588" s="2">
        <v>8</v>
      </c>
      <c r="AD588" s="2">
        <v>5</v>
      </c>
      <c r="AE588" s="2" t="s">
        <v>0</v>
      </c>
      <c r="AF588" s="2">
        <v>4</v>
      </c>
      <c r="AG588" s="2" t="s">
        <v>0</v>
      </c>
    </row>
    <row r="589" spans="1:33" ht="127.5" x14ac:dyDescent="0.2">
      <c r="A589" s="5" t="str">
        <f>HYPERLINK("http://www.patentics.cn/invokexml.do?sf=ShowPatent&amp;spn=US9107186&amp;sv=8a78b379fb9099be6d98bd98f59764af","US9107186")</f>
        <v>US9107186</v>
      </c>
      <c r="B589" s="3" t="s">
        <v>2749</v>
      </c>
      <c r="C589" s="3" t="s">
        <v>2750</v>
      </c>
      <c r="D589" s="3" t="s">
        <v>52</v>
      </c>
      <c r="E589" s="3" t="s">
        <v>52</v>
      </c>
      <c r="F589" s="3" t="s">
        <v>2751</v>
      </c>
      <c r="G589" s="3" t="s">
        <v>2752</v>
      </c>
      <c r="H589" s="3" t="s">
        <v>891</v>
      </c>
      <c r="I589" s="3" t="s">
        <v>2753</v>
      </c>
      <c r="J589" s="3" t="s">
        <v>927</v>
      </c>
      <c r="K589" s="3" t="s">
        <v>82</v>
      </c>
      <c r="L589" s="3" t="s">
        <v>226</v>
      </c>
      <c r="M589" s="3" t="s">
        <v>0</v>
      </c>
      <c r="N589" s="3" t="s">
        <v>0</v>
      </c>
      <c r="O589" s="3">
        <v>0</v>
      </c>
      <c r="P589" s="3">
        <v>19</v>
      </c>
      <c r="Q589" s="3" t="s">
        <v>60</v>
      </c>
      <c r="R589" s="3" t="s">
        <v>61</v>
      </c>
      <c r="S589" s="3">
        <v>38</v>
      </c>
      <c r="T589" s="3">
        <v>7</v>
      </c>
      <c r="U589" s="3">
        <v>31</v>
      </c>
      <c r="V589" s="3">
        <v>18</v>
      </c>
      <c r="W589" s="3">
        <v>0</v>
      </c>
      <c r="X589" s="3" t="s">
        <v>147</v>
      </c>
      <c r="Y589" s="3">
        <v>0</v>
      </c>
      <c r="Z589" s="3">
        <v>0</v>
      </c>
      <c r="AA589" s="3">
        <v>0</v>
      </c>
      <c r="AB589" s="3">
        <v>0</v>
      </c>
      <c r="AC589" s="3">
        <v>8</v>
      </c>
      <c r="AD589" s="3">
        <v>6</v>
      </c>
      <c r="AE589" s="3">
        <v>14</v>
      </c>
      <c r="AF589" s="3" t="s">
        <v>0</v>
      </c>
      <c r="AG589" s="3" t="s">
        <v>49</v>
      </c>
    </row>
    <row r="590" spans="1:33" ht="89.25" x14ac:dyDescent="0.2">
      <c r="A590" s="5" t="str">
        <f>HYPERLINK("http://www.patentics.cn/invokexml.do?sf=ShowPatent&amp;spn=US9160592&amp;sv=427b99375643120d52ab55918d773190","US9160592")</f>
        <v>US9160592</v>
      </c>
      <c r="B590" s="3" t="s">
        <v>2754</v>
      </c>
      <c r="C590" s="3" t="s">
        <v>2755</v>
      </c>
      <c r="D590" s="3" t="s">
        <v>52</v>
      </c>
      <c r="E590" s="3" t="s">
        <v>52</v>
      </c>
      <c r="F590" s="3" t="s">
        <v>2756</v>
      </c>
      <c r="G590" s="3" t="s">
        <v>2752</v>
      </c>
      <c r="H590" s="3" t="s">
        <v>891</v>
      </c>
      <c r="I590" s="3" t="s">
        <v>1235</v>
      </c>
      <c r="J590" s="3" t="s">
        <v>830</v>
      </c>
      <c r="K590" s="3" t="s">
        <v>1246</v>
      </c>
      <c r="L590" s="3" t="s">
        <v>1247</v>
      </c>
      <c r="M590" s="3" t="s">
        <v>58</v>
      </c>
      <c r="N590" s="3" t="s">
        <v>2466</v>
      </c>
      <c r="O590" s="3">
        <v>0</v>
      </c>
      <c r="P590" s="3">
        <v>26</v>
      </c>
      <c r="Q590" s="3" t="s">
        <v>60</v>
      </c>
      <c r="R590" s="3" t="s">
        <v>61</v>
      </c>
      <c r="S590" s="3">
        <v>40</v>
      </c>
      <c r="T590" s="3">
        <v>8</v>
      </c>
      <c r="U590" s="3">
        <v>32</v>
      </c>
      <c r="V590" s="3">
        <v>19</v>
      </c>
      <c r="W590" s="3">
        <v>0</v>
      </c>
      <c r="X590" s="3" t="s">
        <v>147</v>
      </c>
      <c r="Y590" s="3">
        <v>0</v>
      </c>
      <c r="Z590" s="3">
        <v>0</v>
      </c>
      <c r="AA590" s="3">
        <v>0</v>
      </c>
      <c r="AB590" s="3">
        <v>0</v>
      </c>
      <c r="AC590" s="3">
        <v>7</v>
      </c>
      <c r="AD590" s="3">
        <v>6</v>
      </c>
      <c r="AE590" s="3">
        <v>14</v>
      </c>
      <c r="AF590" s="3" t="s">
        <v>0</v>
      </c>
      <c r="AG590" s="3" t="s">
        <v>49</v>
      </c>
    </row>
    <row r="591" spans="1:33" ht="63.75" x14ac:dyDescent="0.2">
      <c r="A591" s="5" t="str">
        <f>HYPERLINK("http://www.patentics.cn/invokexml.do?sf=ShowPatent&amp;spn=WO2012116109&amp;sv=bef72d6cd360397658739bce49f76949","WO2012116109")</f>
        <v>WO2012116109</v>
      </c>
      <c r="B591" s="3" t="s">
        <v>2757</v>
      </c>
      <c r="C591" s="3" t="s">
        <v>2755</v>
      </c>
      <c r="D591" s="3" t="s">
        <v>2758</v>
      </c>
      <c r="E591" s="3" t="s">
        <v>2759</v>
      </c>
      <c r="F591" s="3" t="s">
        <v>2760</v>
      </c>
      <c r="G591" s="3" t="s">
        <v>2761</v>
      </c>
      <c r="H591" s="3" t="s">
        <v>891</v>
      </c>
      <c r="I591" s="3" t="s">
        <v>2753</v>
      </c>
      <c r="J591" s="3" t="s">
        <v>2762</v>
      </c>
      <c r="K591" s="3" t="s">
        <v>58</v>
      </c>
      <c r="L591" s="3" t="s">
        <v>188</v>
      </c>
      <c r="M591" s="3" t="s">
        <v>0</v>
      </c>
      <c r="N591" s="3" t="s">
        <v>0</v>
      </c>
      <c r="O591" s="3">
        <v>65</v>
      </c>
      <c r="P591" s="3">
        <v>19</v>
      </c>
      <c r="Q591" s="3" t="s">
        <v>352</v>
      </c>
      <c r="R591" s="3" t="s">
        <v>61</v>
      </c>
      <c r="S591" s="3">
        <v>7</v>
      </c>
      <c r="T591" s="3">
        <v>1</v>
      </c>
      <c r="U591" s="3">
        <v>6</v>
      </c>
      <c r="V591" s="3">
        <v>6</v>
      </c>
      <c r="W591" s="3">
        <v>0</v>
      </c>
      <c r="X591" s="3" t="s">
        <v>147</v>
      </c>
      <c r="Y591" s="3">
        <v>0</v>
      </c>
      <c r="Z591" s="3">
        <v>0</v>
      </c>
      <c r="AA591" s="3">
        <v>0</v>
      </c>
      <c r="AB591" s="3">
        <v>0</v>
      </c>
      <c r="AC591" s="3">
        <v>7</v>
      </c>
      <c r="AD591" s="3">
        <v>6</v>
      </c>
      <c r="AE591" s="3">
        <v>14</v>
      </c>
      <c r="AF591" s="3" t="s">
        <v>0</v>
      </c>
      <c r="AG591" s="3" t="s">
        <v>0</v>
      </c>
    </row>
    <row r="592" spans="1:33" ht="89.25" x14ac:dyDescent="0.2">
      <c r="A592" s="5" t="str">
        <f>HYPERLINK("http://www.patentics.cn/invokexml.do?sf=ShowPatent&amp;spn=WO2012116109A3&amp;sv=33913db79da6c6ce2c741f0ca2e8bd8b","WO2012116109A3")</f>
        <v>WO2012116109A3</v>
      </c>
      <c r="B592" s="3" t="s">
        <v>2763</v>
      </c>
      <c r="C592" s="3" t="s">
        <v>2764</v>
      </c>
      <c r="D592" s="3" t="s">
        <v>2765</v>
      </c>
      <c r="E592" s="3" t="s">
        <v>2765</v>
      </c>
      <c r="F592" s="3" t="s">
        <v>2766</v>
      </c>
      <c r="G592" s="3" t="s">
        <v>2767</v>
      </c>
      <c r="H592" s="3" t="s">
        <v>891</v>
      </c>
      <c r="I592" s="3" t="s">
        <v>891</v>
      </c>
      <c r="J592" s="3" t="s">
        <v>1412</v>
      </c>
      <c r="K592" s="3" t="s">
        <v>58</v>
      </c>
      <c r="L592" s="3" t="s">
        <v>188</v>
      </c>
      <c r="M592" s="3" t="s">
        <v>58</v>
      </c>
      <c r="N592" s="3" t="s">
        <v>58</v>
      </c>
      <c r="O592" s="3">
        <v>0</v>
      </c>
      <c r="P592" s="3">
        <v>0</v>
      </c>
      <c r="Q592" s="3" t="s">
        <v>352</v>
      </c>
      <c r="R592" s="3" t="s">
        <v>1387</v>
      </c>
      <c r="S592" s="3">
        <v>7</v>
      </c>
      <c r="T592" s="3">
        <v>1</v>
      </c>
      <c r="U592" s="3">
        <v>6</v>
      </c>
      <c r="V592" s="3">
        <v>6</v>
      </c>
      <c r="W592" s="3">
        <v>0</v>
      </c>
      <c r="X592" s="3" t="s">
        <v>147</v>
      </c>
      <c r="Y592" s="3">
        <v>0</v>
      </c>
      <c r="Z592" s="3">
        <v>0</v>
      </c>
      <c r="AA592" s="3">
        <v>0</v>
      </c>
      <c r="AB592" s="3">
        <v>0</v>
      </c>
      <c r="AC592" s="3">
        <v>0</v>
      </c>
      <c r="AD592" s="3">
        <v>0</v>
      </c>
      <c r="AE592" s="3">
        <v>14</v>
      </c>
      <c r="AF592" s="3" t="s">
        <v>0</v>
      </c>
      <c r="AG592" s="3" t="s">
        <v>0</v>
      </c>
    </row>
    <row r="593" spans="1:33" ht="102" x14ac:dyDescent="0.2">
      <c r="A593" s="4" t="str">
        <f>HYPERLINK("http://www.patentics.cn/invokexml.do?sf=ShowPatent&amp;spn=WO2006023536&amp;sv=65078ff94da833fd905aac6d169e5987","WO2006023536")</f>
        <v>WO2006023536</v>
      </c>
      <c r="B593" s="2" t="s">
        <v>2768</v>
      </c>
      <c r="C593" s="2" t="s">
        <v>2769</v>
      </c>
      <c r="D593" s="2" t="s">
        <v>2770</v>
      </c>
      <c r="E593" s="2" t="s">
        <v>2771</v>
      </c>
      <c r="F593" s="2" t="s">
        <v>2772</v>
      </c>
      <c r="G593" s="2" t="s">
        <v>2773</v>
      </c>
      <c r="H593" s="2" t="s">
        <v>1315</v>
      </c>
      <c r="I593" s="2" t="s">
        <v>1316</v>
      </c>
      <c r="J593" s="2" t="s">
        <v>2774</v>
      </c>
      <c r="K593" s="2" t="s">
        <v>70</v>
      </c>
      <c r="L593" s="2" t="s">
        <v>467</v>
      </c>
      <c r="M593" s="2" t="s">
        <v>0</v>
      </c>
      <c r="N593" s="2" t="s">
        <v>0</v>
      </c>
      <c r="O593" s="2">
        <v>54</v>
      </c>
      <c r="P593" s="2">
        <v>13</v>
      </c>
      <c r="Q593" s="2" t="s">
        <v>352</v>
      </c>
      <c r="R593" s="2" t="s">
        <v>61</v>
      </c>
      <c r="S593" s="2">
        <v>8</v>
      </c>
      <c r="T593" s="2">
        <v>0</v>
      </c>
      <c r="U593" s="2">
        <v>8</v>
      </c>
      <c r="V593" s="2">
        <v>8</v>
      </c>
      <c r="W593" s="2">
        <v>33</v>
      </c>
      <c r="X593" s="2" t="s">
        <v>2775</v>
      </c>
      <c r="Y593" s="2">
        <v>2</v>
      </c>
      <c r="Z593" s="2">
        <v>31</v>
      </c>
      <c r="AA593" s="2">
        <v>14</v>
      </c>
      <c r="AB593" s="2">
        <v>6</v>
      </c>
      <c r="AC593" s="2">
        <v>16</v>
      </c>
      <c r="AD593" s="2">
        <v>6</v>
      </c>
      <c r="AE593" s="2" t="s">
        <v>0</v>
      </c>
      <c r="AF593" s="2">
        <v>4</v>
      </c>
      <c r="AG593" s="2" t="s">
        <v>0</v>
      </c>
    </row>
    <row r="594" spans="1:33" ht="89.25" x14ac:dyDescent="0.2">
      <c r="A594" s="5" t="str">
        <f>HYPERLINK("http://www.patentics.cn/invokexml.do?sf=ShowPatent&amp;spn=US8768372&amp;sv=4c6bba8f9e33687903aa862e091f3f8d","US8768372")</f>
        <v>US8768372</v>
      </c>
      <c r="B594" s="3" t="s">
        <v>2776</v>
      </c>
      <c r="C594" s="3" t="s">
        <v>2777</v>
      </c>
      <c r="D594" s="3" t="s">
        <v>52</v>
      </c>
      <c r="E594" s="3" t="s">
        <v>52</v>
      </c>
      <c r="F594" s="3" t="s">
        <v>2778</v>
      </c>
      <c r="G594" s="3" t="s">
        <v>54</v>
      </c>
      <c r="H594" s="3" t="s">
        <v>2779</v>
      </c>
      <c r="I594" s="3" t="s">
        <v>2780</v>
      </c>
      <c r="J594" s="3" t="s">
        <v>1544</v>
      </c>
      <c r="K594" s="3" t="s">
        <v>82</v>
      </c>
      <c r="L594" s="3" t="s">
        <v>83</v>
      </c>
      <c r="M594" s="3" t="s">
        <v>82</v>
      </c>
      <c r="N594" s="3" t="s">
        <v>919</v>
      </c>
      <c r="O594" s="3">
        <v>0</v>
      </c>
      <c r="P594" s="3">
        <v>11</v>
      </c>
      <c r="Q594" s="3" t="s">
        <v>60</v>
      </c>
      <c r="R594" s="3" t="s">
        <v>61</v>
      </c>
      <c r="S594" s="3">
        <v>120</v>
      </c>
      <c r="T594" s="3">
        <v>23</v>
      </c>
      <c r="U594" s="3">
        <v>97</v>
      </c>
      <c r="V594" s="3">
        <v>43</v>
      </c>
      <c r="W594" s="3">
        <v>0</v>
      </c>
      <c r="X594" s="3" t="s">
        <v>147</v>
      </c>
      <c r="Y594" s="3">
        <v>0</v>
      </c>
      <c r="Z594" s="3">
        <v>0</v>
      </c>
      <c r="AA594" s="3">
        <v>0</v>
      </c>
      <c r="AB594" s="3">
        <v>0</v>
      </c>
      <c r="AC594" s="3">
        <v>20</v>
      </c>
      <c r="AD594" s="3">
        <v>14</v>
      </c>
      <c r="AE594" s="3">
        <v>14</v>
      </c>
      <c r="AF594" s="3" t="s">
        <v>0</v>
      </c>
      <c r="AG594" s="3" t="s">
        <v>49</v>
      </c>
    </row>
    <row r="595" spans="1:33" ht="153" x14ac:dyDescent="0.2">
      <c r="A595" s="5" t="str">
        <f>HYPERLINK("http://www.patentics.cn/invokexml.do?sf=ShowPatent&amp;spn=US8918112&amp;sv=18706728bca44233febca7b2288350ff","US8918112")</f>
        <v>US8918112</v>
      </c>
      <c r="B595" s="3" t="s">
        <v>2781</v>
      </c>
      <c r="C595" s="3" t="s">
        <v>2782</v>
      </c>
      <c r="D595" s="3" t="s">
        <v>52</v>
      </c>
      <c r="E595" s="3" t="s">
        <v>52</v>
      </c>
      <c r="F595" s="3" t="s">
        <v>2783</v>
      </c>
      <c r="G595" s="3" t="s">
        <v>54</v>
      </c>
      <c r="H595" s="3" t="s">
        <v>2784</v>
      </c>
      <c r="I595" s="3" t="s">
        <v>2780</v>
      </c>
      <c r="J595" s="3" t="s">
        <v>203</v>
      </c>
      <c r="K595" s="3" t="s">
        <v>82</v>
      </c>
      <c r="L595" s="3" t="s">
        <v>226</v>
      </c>
      <c r="M595" s="3" t="s">
        <v>82</v>
      </c>
      <c r="N595" s="3" t="s">
        <v>2027</v>
      </c>
      <c r="O595" s="3">
        <v>0</v>
      </c>
      <c r="P595" s="3">
        <v>13</v>
      </c>
      <c r="Q595" s="3" t="s">
        <v>60</v>
      </c>
      <c r="R595" s="3" t="s">
        <v>61</v>
      </c>
      <c r="S595" s="3">
        <v>149</v>
      </c>
      <c r="T595" s="3">
        <v>28</v>
      </c>
      <c r="U595" s="3">
        <v>121</v>
      </c>
      <c r="V595" s="3">
        <v>50</v>
      </c>
      <c r="W595" s="3">
        <v>12</v>
      </c>
      <c r="X595" s="3" t="s">
        <v>147</v>
      </c>
      <c r="Y595" s="3">
        <v>0</v>
      </c>
      <c r="Z595" s="3">
        <v>12</v>
      </c>
      <c r="AA595" s="3">
        <v>0</v>
      </c>
      <c r="AB595" s="3">
        <v>1</v>
      </c>
      <c r="AC595" s="3">
        <v>114</v>
      </c>
      <c r="AD595" s="3">
        <v>15</v>
      </c>
      <c r="AE595" s="3">
        <v>14</v>
      </c>
      <c r="AF595" s="3" t="s">
        <v>0</v>
      </c>
      <c r="AG595" s="3" t="s">
        <v>49</v>
      </c>
    </row>
    <row r="596" spans="1:33" ht="89.25" x14ac:dyDescent="0.2">
      <c r="A596" s="5" t="str">
        <f>HYPERLINK("http://www.patentics.cn/invokexml.do?sf=ShowPatent&amp;spn=US9215669&amp;sv=942597c00c3693666115f0307e60f33f","US9215669")</f>
        <v>US9215669</v>
      </c>
      <c r="B596" s="3" t="s">
        <v>2785</v>
      </c>
      <c r="C596" s="3" t="s">
        <v>2782</v>
      </c>
      <c r="D596" s="3" t="s">
        <v>52</v>
      </c>
      <c r="E596" s="3" t="s">
        <v>52</v>
      </c>
      <c r="F596" s="3" t="s">
        <v>2786</v>
      </c>
      <c r="G596" s="3" t="s">
        <v>54</v>
      </c>
      <c r="H596" s="3" t="s">
        <v>2784</v>
      </c>
      <c r="I596" s="3" t="s">
        <v>2780</v>
      </c>
      <c r="J596" s="3" t="s">
        <v>2568</v>
      </c>
      <c r="K596" s="3" t="s">
        <v>82</v>
      </c>
      <c r="L596" s="3" t="s">
        <v>1626</v>
      </c>
      <c r="M596" s="3" t="s">
        <v>82</v>
      </c>
      <c r="N596" s="3" t="s">
        <v>2787</v>
      </c>
      <c r="O596" s="3">
        <v>0</v>
      </c>
      <c r="P596" s="3">
        <v>24</v>
      </c>
      <c r="Q596" s="3" t="s">
        <v>60</v>
      </c>
      <c r="R596" s="3" t="s">
        <v>61</v>
      </c>
      <c r="S596" s="3">
        <v>163</v>
      </c>
      <c r="T596" s="3">
        <v>30</v>
      </c>
      <c r="U596" s="3">
        <v>133</v>
      </c>
      <c r="V596" s="3">
        <v>51</v>
      </c>
      <c r="W596" s="3">
        <v>12</v>
      </c>
      <c r="X596" s="3" t="s">
        <v>147</v>
      </c>
      <c r="Y596" s="3">
        <v>0</v>
      </c>
      <c r="Z596" s="3">
        <v>12</v>
      </c>
      <c r="AA596" s="3">
        <v>0</v>
      </c>
      <c r="AB596" s="3">
        <v>1</v>
      </c>
      <c r="AC596" s="3">
        <v>114</v>
      </c>
      <c r="AD596" s="3">
        <v>15</v>
      </c>
      <c r="AE596" s="3">
        <v>14</v>
      </c>
      <c r="AF596" s="3" t="s">
        <v>0</v>
      </c>
      <c r="AG596" s="3" t="s">
        <v>49</v>
      </c>
    </row>
    <row r="597" spans="1:33" ht="153" x14ac:dyDescent="0.2">
      <c r="A597" s="5" t="str">
        <f>HYPERLINK("http://www.patentics.cn/invokexml.do?sf=ShowPatent&amp;spn=US9264976&amp;sv=4235cd7be929a4ba96446cc1fa532cd4","US9264976")</f>
        <v>US9264976</v>
      </c>
      <c r="B597" s="3" t="s">
        <v>2788</v>
      </c>
      <c r="C597" s="3" t="s">
        <v>2782</v>
      </c>
      <c r="D597" s="3" t="s">
        <v>52</v>
      </c>
      <c r="E597" s="3" t="s">
        <v>52</v>
      </c>
      <c r="F597" s="3" t="s">
        <v>2783</v>
      </c>
      <c r="G597" s="3" t="s">
        <v>54</v>
      </c>
      <c r="H597" s="3" t="s">
        <v>2784</v>
      </c>
      <c r="I597" s="3" t="s">
        <v>2780</v>
      </c>
      <c r="J597" s="3" t="s">
        <v>664</v>
      </c>
      <c r="K597" s="3" t="s">
        <v>82</v>
      </c>
      <c r="L597" s="3" t="s">
        <v>2789</v>
      </c>
      <c r="M597" s="3" t="s">
        <v>82</v>
      </c>
      <c r="N597" s="3" t="s">
        <v>2027</v>
      </c>
      <c r="O597" s="3">
        <v>0</v>
      </c>
      <c r="P597" s="3">
        <v>23</v>
      </c>
      <c r="Q597" s="3" t="s">
        <v>60</v>
      </c>
      <c r="R597" s="3" t="s">
        <v>61</v>
      </c>
      <c r="S597" s="3">
        <v>162</v>
      </c>
      <c r="T597" s="3">
        <v>32</v>
      </c>
      <c r="U597" s="3">
        <v>130</v>
      </c>
      <c r="V597" s="3">
        <v>51</v>
      </c>
      <c r="W597" s="3">
        <v>12</v>
      </c>
      <c r="X597" s="3" t="s">
        <v>147</v>
      </c>
      <c r="Y597" s="3">
        <v>0</v>
      </c>
      <c r="Z597" s="3">
        <v>12</v>
      </c>
      <c r="AA597" s="3">
        <v>0</v>
      </c>
      <c r="AB597" s="3">
        <v>1</v>
      </c>
      <c r="AC597" s="3">
        <v>114</v>
      </c>
      <c r="AD597" s="3">
        <v>15</v>
      </c>
      <c r="AE597" s="3">
        <v>14</v>
      </c>
      <c r="AF597" s="3" t="s">
        <v>0</v>
      </c>
      <c r="AG597" s="3" t="s">
        <v>49</v>
      </c>
    </row>
    <row r="598" spans="1:33" ht="89.25" x14ac:dyDescent="0.2">
      <c r="A598" s="4" t="str">
        <f>HYPERLINK("http://www.patentics.cn/invokexml.do?sf=ShowPatent&amp;spn=EP2750457&amp;sv=0f156991a6532c283d10c0b8fcaa8477","EP2750457")</f>
        <v>EP2750457</v>
      </c>
      <c r="B598" s="2" t="s">
        <v>2790</v>
      </c>
      <c r="C598" s="2" t="s">
        <v>2265</v>
      </c>
      <c r="D598" s="2" t="s">
        <v>346</v>
      </c>
      <c r="E598" s="2" t="s">
        <v>346</v>
      </c>
      <c r="F598" s="2" t="s">
        <v>2791</v>
      </c>
      <c r="G598" s="2" t="s">
        <v>2792</v>
      </c>
      <c r="H598" s="2" t="s">
        <v>2269</v>
      </c>
      <c r="I598" s="2" t="s">
        <v>2270</v>
      </c>
      <c r="J598" s="2" t="s">
        <v>2793</v>
      </c>
      <c r="K598" s="2" t="s">
        <v>82</v>
      </c>
      <c r="L598" s="2" t="s">
        <v>862</v>
      </c>
      <c r="M598" s="2" t="s">
        <v>82</v>
      </c>
      <c r="N598" s="2" t="s">
        <v>459</v>
      </c>
      <c r="O598" s="2">
        <v>10</v>
      </c>
      <c r="P598" s="2">
        <v>12</v>
      </c>
      <c r="Q598" s="2" t="s">
        <v>352</v>
      </c>
      <c r="R598" s="2" t="s">
        <v>47</v>
      </c>
      <c r="S598" s="2">
        <v>0</v>
      </c>
      <c r="T598" s="2">
        <v>0</v>
      </c>
      <c r="U598" s="2">
        <v>0</v>
      </c>
      <c r="V598" s="2">
        <v>0</v>
      </c>
      <c r="W598" s="2">
        <v>4</v>
      </c>
      <c r="X598" s="2" t="s">
        <v>74</v>
      </c>
      <c r="Y598" s="2">
        <v>0</v>
      </c>
      <c r="Z598" s="2">
        <v>4</v>
      </c>
      <c r="AA598" s="2">
        <v>1</v>
      </c>
      <c r="AB598" s="2">
        <v>1</v>
      </c>
      <c r="AC598" s="2">
        <v>3</v>
      </c>
      <c r="AD598" s="2">
        <v>4</v>
      </c>
      <c r="AE598" s="2" t="s">
        <v>0</v>
      </c>
      <c r="AF598" s="2">
        <v>4</v>
      </c>
      <c r="AG598" s="2" t="s">
        <v>0</v>
      </c>
    </row>
    <row r="599" spans="1:33" ht="153" x14ac:dyDescent="0.2">
      <c r="A599" s="5" t="str">
        <f>HYPERLINK("http://www.patentics.cn/invokexml.do?sf=ShowPatent&amp;spn=US9351304&amp;sv=733398e03133dcc8ce36a4f086757580","US9351304")</f>
        <v>US9351304</v>
      </c>
      <c r="B599" s="3" t="s">
        <v>2271</v>
      </c>
      <c r="C599" s="3" t="s">
        <v>2272</v>
      </c>
      <c r="D599" s="3" t="s">
        <v>52</v>
      </c>
      <c r="E599" s="3" t="s">
        <v>52</v>
      </c>
      <c r="F599" s="3" t="s">
        <v>2273</v>
      </c>
      <c r="G599" s="3" t="s">
        <v>2274</v>
      </c>
      <c r="H599" s="3" t="s">
        <v>0</v>
      </c>
      <c r="I599" s="3" t="s">
        <v>2275</v>
      </c>
      <c r="J599" s="3" t="s">
        <v>1184</v>
      </c>
      <c r="K599" s="3" t="s">
        <v>82</v>
      </c>
      <c r="L599" s="3" t="s">
        <v>862</v>
      </c>
      <c r="M599" s="3" t="s">
        <v>82</v>
      </c>
      <c r="N599" s="3" t="s">
        <v>2168</v>
      </c>
      <c r="O599" s="3">
        <v>0</v>
      </c>
      <c r="P599" s="3">
        <v>12</v>
      </c>
      <c r="Q599" s="3" t="s">
        <v>60</v>
      </c>
      <c r="R599" s="3" t="s">
        <v>61</v>
      </c>
      <c r="S599" s="3">
        <v>92</v>
      </c>
      <c r="T599" s="3">
        <v>10</v>
      </c>
      <c r="U599" s="3">
        <v>82</v>
      </c>
      <c r="V599" s="3">
        <v>40</v>
      </c>
      <c r="W599" s="3">
        <v>0</v>
      </c>
      <c r="X599" s="3" t="s">
        <v>147</v>
      </c>
      <c r="Y599" s="3">
        <v>0</v>
      </c>
      <c r="Z599" s="3">
        <v>0</v>
      </c>
      <c r="AA599" s="3">
        <v>0</v>
      </c>
      <c r="AB599" s="3">
        <v>0</v>
      </c>
      <c r="AC599" s="3">
        <v>0</v>
      </c>
      <c r="AD599" s="3">
        <v>0</v>
      </c>
      <c r="AE599" s="3">
        <v>14</v>
      </c>
      <c r="AF599" s="3" t="s">
        <v>0</v>
      </c>
      <c r="AG599" s="3" t="s">
        <v>49</v>
      </c>
    </row>
    <row r="600" spans="1:33" ht="153" x14ac:dyDescent="0.2">
      <c r="A600" s="5" t="str">
        <f>HYPERLINK("http://www.patentics.cn/invokexml.do?sf=ShowPatent&amp;spn=US9414389&amp;sv=f0bc4c0045239ce7311087c8a1c97374","US9414389")</f>
        <v>US9414389</v>
      </c>
      <c r="B600" s="3" t="s">
        <v>2271</v>
      </c>
      <c r="C600" s="3" t="s">
        <v>2272</v>
      </c>
      <c r="D600" s="3" t="s">
        <v>52</v>
      </c>
      <c r="E600" s="3" t="s">
        <v>52</v>
      </c>
      <c r="F600" s="3" t="s">
        <v>2273</v>
      </c>
      <c r="G600" s="3" t="s">
        <v>2274</v>
      </c>
      <c r="H600" s="3" t="s">
        <v>0</v>
      </c>
      <c r="I600" s="3" t="s">
        <v>2275</v>
      </c>
      <c r="J600" s="3" t="s">
        <v>2276</v>
      </c>
      <c r="K600" s="3" t="s">
        <v>82</v>
      </c>
      <c r="L600" s="3" t="s">
        <v>862</v>
      </c>
      <c r="M600" s="3" t="s">
        <v>82</v>
      </c>
      <c r="N600" s="3" t="s">
        <v>2168</v>
      </c>
      <c r="O600" s="3">
        <v>0</v>
      </c>
      <c r="P600" s="3">
        <v>12</v>
      </c>
      <c r="Q600" s="3" t="s">
        <v>60</v>
      </c>
      <c r="R600" s="3" t="s">
        <v>61</v>
      </c>
      <c r="S600" s="3">
        <v>101</v>
      </c>
      <c r="T600" s="3">
        <v>10</v>
      </c>
      <c r="U600" s="3">
        <v>91</v>
      </c>
      <c r="V600" s="3">
        <v>43</v>
      </c>
      <c r="W600" s="3">
        <v>0</v>
      </c>
      <c r="X600" s="3" t="s">
        <v>147</v>
      </c>
      <c r="Y600" s="3">
        <v>0</v>
      </c>
      <c r="Z600" s="3">
        <v>0</v>
      </c>
      <c r="AA600" s="3">
        <v>0</v>
      </c>
      <c r="AB600" s="3">
        <v>0</v>
      </c>
      <c r="AC600" s="3">
        <v>0</v>
      </c>
      <c r="AD600" s="3">
        <v>0</v>
      </c>
      <c r="AE600" s="3">
        <v>14</v>
      </c>
      <c r="AF600" s="3" t="s">
        <v>0</v>
      </c>
      <c r="AG600" s="3" t="s">
        <v>49</v>
      </c>
    </row>
    <row r="601" spans="1:33" ht="114.75" x14ac:dyDescent="0.2">
      <c r="A601" s="5" t="str">
        <f>HYPERLINK("http://www.patentics.cn/invokexml.do?sf=ShowPatent&amp;spn=US9474000&amp;sv=914914f5b329e2ffe7790978660092da","US9474000")</f>
        <v>US9474000</v>
      </c>
      <c r="B601" s="3" t="s">
        <v>2277</v>
      </c>
      <c r="C601" s="3" t="s">
        <v>2278</v>
      </c>
      <c r="D601" s="3" t="s">
        <v>52</v>
      </c>
      <c r="E601" s="3" t="s">
        <v>52</v>
      </c>
      <c r="F601" s="3" t="s">
        <v>2279</v>
      </c>
      <c r="G601" s="3" t="s">
        <v>2274</v>
      </c>
      <c r="H601" s="3" t="s">
        <v>2280</v>
      </c>
      <c r="I601" s="3" t="s">
        <v>2281</v>
      </c>
      <c r="J601" s="3" t="s">
        <v>528</v>
      </c>
      <c r="K601" s="3" t="s">
        <v>82</v>
      </c>
      <c r="L601" s="3" t="s">
        <v>83</v>
      </c>
      <c r="M601" s="3" t="s">
        <v>82</v>
      </c>
      <c r="N601" s="3" t="s">
        <v>1678</v>
      </c>
      <c r="O601" s="3">
        <v>0</v>
      </c>
      <c r="P601" s="3">
        <v>22</v>
      </c>
      <c r="Q601" s="3" t="s">
        <v>60</v>
      </c>
      <c r="R601" s="3" t="s">
        <v>61</v>
      </c>
      <c r="S601" s="3">
        <v>107</v>
      </c>
      <c r="T601" s="3">
        <v>10</v>
      </c>
      <c r="U601" s="3">
        <v>97</v>
      </c>
      <c r="V601" s="3">
        <v>46</v>
      </c>
      <c r="W601" s="3">
        <v>0</v>
      </c>
      <c r="X601" s="3" t="s">
        <v>147</v>
      </c>
      <c r="Y601" s="3">
        <v>0</v>
      </c>
      <c r="Z601" s="3">
        <v>0</v>
      </c>
      <c r="AA601" s="3">
        <v>0</v>
      </c>
      <c r="AB601" s="3">
        <v>0</v>
      </c>
      <c r="AC601" s="3">
        <v>19</v>
      </c>
      <c r="AD601" s="3">
        <v>4</v>
      </c>
      <c r="AE601" s="3">
        <v>14</v>
      </c>
      <c r="AF601" s="3" t="s">
        <v>0</v>
      </c>
      <c r="AG601" s="3" t="s">
        <v>49</v>
      </c>
    </row>
    <row r="602" spans="1:33" ht="153" x14ac:dyDescent="0.2">
      <c r="A602" s="5" t="str">
        <f>HYPERLINK("http://www.patentics.cn/invokexml.do?sf=ShowPatent&amp;spn=US9485771&amp;sv=9ef5790a677d2aa5bf16530d5f966c93","US9485771")</f>
        <v>US9485771</v>
      </c>
      <c r="B602" s="3" t="s">
        <v>2271</v>
      </c>
      <c r="C602" s="3" t="s">
        <v>2272</v>
      </c>
      <c r="D602" s="3" t="s">
        <v>52</v>
      </c>
      <c r="E602" s="3" t="s">
        <v>52</v>
      </c>
      <c r="F602" s="3" t="s">
        <v>2273</v>
      </c>
      <c r="G602" s="3" t="s">
        <v>2274</v>
      </c>
      <c r="H602" s="3" t="s">
        <v>2280</v>
      </c>
      <c r="I602" s="3" t="s">
        <v>2275</v>
      </c>
      <c r="J602" s="3" t="s">
        <v>727</v>
      </c>
      <c r="K602" s="3" t="s">
        <v>82</v>
      </c>
      <c r="L602" s="3" t="s">
        <v>862</v>
      </c>
      <c r="M602" s="3" t="s">
        <v>82</v>
      </c>
      <c r="N602" s="3" t="s">
        <v>2168</v>
      </c>
      <c r="O602" s="3">
        <v>0</v>
      </c>
      <c r="P602" s="3">
        <v>12</v>
      </c>
      <c r="Q602" s="3" t="s">
        <v>60</v>
      </c>
      <c r="R602" s="3" t="s">
        <v>61</v>
      </c>
      <c r="S602" s="3">
        <v>104</v>
      </c>
      <c r="T602" s="3">
        <v>10</v>
      </c>
      <c r="U602" s="3">
        <v>94</v>
      </c>
      <c r="V602" s="3">
        <v>44</v>
      </c>
      <c r="W602" s="3">
        <v>0</v>
      </c>
      <c r="X602" s="3" t="s">
        <v>147</v>
      </c>
      <c r="Y602" s="3">
        <v>0</v>
      </c>
      <c r="Z602" s="3">
        <v>0</v>
      </c>
      <c r="AA602" s="3">
        <v>0</v>
      </c>
      <c r="AB602" s="3">
        <v>0</v>
      </c>
      <c r="AC602" s="3">
        <v>19</v>
      </c>
      <c r="AD602" s="3">
        <v>4</v>
      </c>
      <c r="AE602" s="3">
        <v>14</v>
      </c>
      <c r="AF602" s="3" t="s">
        <v>0</v>
      </c>
      <c r="AG602" s="3" t="s">
        <v>49</v>
      </c>
    </row>
    <row r="603" spans="1:33" ht="76.5" x14ac:dyDescent="0.2">
      <c r="A603" s="4" t="str">
        <f>HYPERLINK("http://www.patentics.cn/invokexml.do?sf=ShowPatent&amp;spn=EP1976170&amp;sv=b383b3d8f213929f9548307a2a7fa6ec","EP1976170")</f>
        <v>EP1976170</v>
      </c>
      <c r="B603" s="2" t="s">
        <v>2794</v>
      </c>
      <c r="C603" s="2" t="s">
        <v>2795</v>
      </c>
      <c r="D603" s="2" t="s">
        <v>346</v>
      </c>
      <c r="E603" s="2" t="s">
        <v>346</v>
      </c>
      <c r="F603" s="2" t="s">
        <v>2796</v>
      </c>
      <c r="G603" s="2" t="s">
        <v>2797</v>
      </c>
      <c r="H603" s="2" t="s">
        <v>2798</v>
      </c>
      <c r="I603" s="2" t="s">
        <v>2798</v>
      </c>
      <c r="J603" s="2" t="s">
        <v>2609</v>
      </c>
      <c r="K603" s="2" t="s">
        <v>84</v>
      </c>
      <c r="L603" s="2" t="s">
        <v>1300</v>
      </c>
      <c r="M603" s="2" t="s">
        <v>82</v>
      </c>
      <c r="N603" s="2" t="s">
        <v>2799</v>
      </c>
      <c r="O603" s="2">
        <v>10</v>
      </c>
      <c r="P603" s="2">
        <v>25</v>
      </c>
      <c r="Q603" s="2" t="s">
        <v>352</v>
      </c>
      <c r="R603" s="2" t="s">
        <v>47</v>
      </c>
      <c r="S603" s="2">
        <v>2</v>
      </c>
      <c r="T603" s="2">
        <v>0</v>
      </c>
      <c r="U603" s="2">
        <v>2</v>
      </c>
      <c r="V603" s="2">
        <v>2</v>
      </c>
      <c r="W603" s="2">
        <v>5</v>
      </c>
      <c r="X603" s="2" t="s">
        <v>2800</v>
      </c>
      <c r="Y603" s="2">
        <v>0</v>
      </c>
      <c r="Z603" s="2">
        <v>5</v>
      </c>
      <c r="AA603" s="2">
        <v>2</v>
      </c>
      <c r="AB603" s="2">
        <v>2</v>
      </c>
      <c r="AC603" s="2">
        <v>12</v>
      </c>
      <c r="AD603" s="2">
        <v>8</v>
      </c>
      <c r="AE603" s="2" t="s">
        <v>0</v>
      </c>
      <c r="AF603" s="2">
        <v>4</v>
      </c>
      <c r="AG603" s="2" t="s">
        <v>0</v>
      </c>
    </row>
    <row r="604" spans="1:33" ht="63.75" x14ac:dyDescent="0.2">
      <c r="A604" s="5" t="str">
        <f>HYPERLINK("http://www.patentics.cn/invokexml.do?sf=ShowPatent&amp;spn=US8811345&amp;sv=2e91d16614e9ec73e68884b5274f2abe","US8811345")</f>
        <v>US8811345</v>
      </c>
      <c r="B604" s="3" t="s">
        <v>2801</v>
      </c>
      <c r="C604" s="3" t="s">
        <v>2802</v>
      </c>
      <c r="D604" s="3" t="s">
        <v>52</v>
      </c>
      <c r="E604" s="3" t="s">
        <v>52</v>
      </c>
      <c r="F604" s="3" t="s">
        <v>1457</v>
      </c>
      <c r="G604" s="3" t="s">
        <v>1458</v>
      </c>
      <c r="H604" s="3" t="s">
        <v>2549</v>
      </c>
      <c r="I604" s="3" t="s">
        <v>2176</v>
      </c>
      <c r="J604" s="3" t="s">
        <v>798</v>
      </c>
      <c r="K604" s="3" t="s">
        <v>82</v>
      </c>
      <c r="L604" s="3" t="s">
        <v>83</v>
      </c>
      <c r="M604" s="3" t="s">
        <v>82</v>
      </c>
      <c r="N604" s="3" t="s">
        <v>1423</v>
      </c>
      <c r="O604" s="3">
        <v>0</v>
      </c>
      <c r="P604" s="3">
        <v>13</v>
      </c>
      <c r="Q604" s="3" t="s">
        <v>60</v>
      </c>
      <c r="R604" s="3" t="s">
        <v>61</v>
      </c>
      <c r="S604" s="3">
        <v>17</v>
      </c>
      <c r="T604" s="3">
        <v>1</v>
      </c>
      <c r="U604" s="3">
        <v>16</v>
      </c>
      <c r="V604" s="3">
        <v>11</v>
      </c>
      <c r="W604" s="3">
        <v>0</v>
      </c>
      <c r="X604" s="3" t="s">
        <v>147</v>
      </c>
      <c r="Y604" s="3">
        <v>0</v>
      </c>
      <c r="Z604" s="3">
        <v>0</v>
      </c>
      <c r="AA604" s="3">
        <v>0</v>
      </c>
      <c r="AB604" s="3">
        <v>0</v>
      </c>
      <c r="AC604" s="3">
        <v>4</v>
      </c>
      <c r="AD604" s="3">
        <v>4</v>
      </c>
      <c r="AE604" s="3">
        <v>14</v>
      </c>
      <c r="AF604" s="3" t="s">
        <v>0</v>
      </c>
      <c r="AG604" s="3" t="s">
        <v>49</v>
      </c>
    </row>
    <row r="605" spans="1:33" ht="63.75" x14ac:dyDescent="0.2">
      <c r="A605" s="5" t="str">
        <f>HYPERLINK("http://www.patentics.cn/invokexml.do?sf=ShowPatent&amp;spn=US8874111&amp;sv=137d18f1789efc66b94efc12610f120c","US8874111")</f>
        <v>US8874111</v>
      </c>
      <c r="B605" s="3" t="s">
        <v>2803</v>
      </c>
      <c r="C605" s="3" t="s">
        <v>2804</v>
      </c>
      <c r="D605" s="3" t="s">
        <v>52</v>
      </c>
      <c r="E605" s="3" t="s">
        <v>52</v>
      </c>
      <c r="F605" s="3" t="s">
        <v>1457</v>
      </c>
      <c r="G605" s="3" t="s">
        <v>1458</v>
      </c>
      <c r="H605" s="3" t="s">
        <v>1443</v>
      </c>
      <c r="I605" s="3" t="s">
        <v>1443</v>
      </c>
      <c r="J605" s="3" t="s">
        <v>489</v>
      </c>
      <c r="K605" s="3" t="s">
        <v>82</v>
      </c>
      <c r="L605" s="3" t="s">
        <v>2805</v>
      </c>
      <c r="M605" s="3" t="s">
        <v>82</v>
      </c>
      <c r="N605" s="3" t="s">
        <v>2799</v>
      </c>
      <c r="O605" s="3">
        <v>0</v>
      </c>
      <c r="P605" s="3">
        <v>15</v>
      </c>
      <c r="Q605" s="3" t="s">
        <v>60</v>
      </c>
      <c r="R605" s="3" t="s">
        <v>61</v>
      </c>
      <c r="S605" s="3">
        <v>13</v>
      </c>
      <c r="T605" s="3">
        <v>0</v>
      </c>
      <c r="U605" s="3">
        <v>13</v>
      </c>
      <c r="V605" s="3">
        <v>9</v>
      </c>
      <c r="W605" s="3">
        <v>0</v>
      </c>
      <c r="X605" s="3" t="s">
        <v>147</v>
      </c>
      <c r="Y605" s="3">
        <v>0</v>
      </c>
      <c r="Z605" s="3">
        <v>0</v>
      </c>
      <c r="AA605" s="3">
        <v>0</v>
      </c>
      <c r="AB605" s="3">
        <v>0</v>
      </c>
      <c r="AC605" s="3">
        <v>4</v>
      </c>
      <c r="AD605" s="3">
        <v>3</v>
      </c>
      <c r="AE605" s="3">
        <v>14</v>
      </c>
      <c r="AF605" s="3" t="s">
        <v>0</v>
      </c>
      <c r="AG605" s="3" t="s">
        <v>49</v>
      </c>
    </row>
    <row r="606" spans="1:33" ht="51" x14ac:dyDescent="0.2">
      <c r="A606" s="5" t="str">
        <f>HYPERLINK("http://www.patentics.cn/invokexml.do?sf=ShowPatent&amp;spn=WO2011059522&amp;sv=3a457655715b4de1f917a323a4f624ff","WO2011059522")</f>
        <v>WO2011059522</v>
      </c>
      <c r="B606" s="3" t="s">
        <v>2806</v>
      </c>
      <c r="C606" s="3" t="s">
        <v>2802</v>
      </c>
      <c r="D606" s="3" t="s">
        <v>1484</v>
      </c>
      <c r="E606" s="3" t="s">
        <v>1485</v>
      </c>
      <c r="F606" s="3" t="s">
        <v>1486</v>
      </c>
      <c r="G606" s="3" t="s">
        <v>1487</v>
      </c>
      <c r="H606" s="3" t="s">
        <v>2549</v>
      </c>
      <c r="I606" s="3" t="s">
        <v>2176</v>
      </c>
      <c r="J606" s="3" t="s">
        <v>1199</v>
      </c>
      <c r="K606" s="3" t="s">
        <v>82</v>
      </c>
      <c r="L606" s="3" t="s">
        <v>1310</v>
      </c>
      <c r="M606" s="3" t="s">
        <v>0</v>
      </c>
      <c r="N606" s="3" t="s">
        <v>0</v>
      </c>
      <c r="O606" s="3">
        <v>44</v>
      </c>
      <c r="P606" s="3">
        <v>11</v>
      </c>
      <c r="Q606" s="3" t="s">
        <v>352</v>
      </c>
      <c r="R606" s="3" t="s">
        <v>61</v>
      </c>
      <c r="S606" s="3">
        <v>5</v>
      </c>
      <c r="T606" s="3">
        <v>1</v>
      </c>
      <c r="U606" s="3">
        <v>4</v>
      </c>
      <c r="V606" s="3">
        <v>5</v>
      </c>
      <c r="W606" s="3">
        <v>0</v>
      </c>
      <c r="X606" s="3" t="s">
        <v>147</v>
      </c>
      <c r="Y606" s="3">
        <v>0</v>
      </c>
      <c r="Z606" s="3">
        <v>0</v>
      </c>
      <c r="AA606" s="3">
        <v>0</v>
      </c>
      <c r="AB606" s="3">
        <v>0</v>
      </c>
      <c r="AC606" s="3">
        <v>4</v>
      </c>
      <c r="AD606" s="3">
        <v>4</v>
      </c>
      <c r="AE606" s="3">
        <v>14</v>
      </c>
      <c r="AF606" s="3" t="s">
        <v>0</v>
      </c>
      <c r="AG606" s="3" t="s">
        <v>0</v>
      </c>
    </row>
    <row r="607" spans="1:33" ht="51" x14ac:dyDescent="0.2">
      <c r="A607" s="5" t="str">
        <f>HYPERLINK("http://www.patentics.cn/invokexml.do?sf=ShowPatent&amp;spn=WO2012021744&amp;sv=a8b2bccd3f4a4e982bdd21a7807386ec","WO2012021744")</f>
        <v>WO2012021744</v>
      </c>
      <c r="B607" s="3" t="s">
        <v>2807</v>
      </c>
      <c r="C607" s="3" t="s">
        <v>2808</v>
      </c>
      <c r="D607" s="3" t="s">
        <v>1484</v>
      </c>
      <c r="E607" s="3" t="s">
        <v>1485</v>
      </c>
      <c r="F607" s="3" t="s">
        <v>1486</v>
      </c>
      <c r="G607" s="3" t="s">
        <v>1487</v>
      </c>
      <c r="H607" s="3" t="s">
        <v>1443</v>
      </c>
      <c r="I607" s="3" t="s">
        <v>2809</v>
      </c>
      <c r="J607" s="3" t="s">
        <v>2810</v>
      </c>
      <c r="K607" s="3" t="s">
        <v>82</v>
      </c>
      <c r="L607" s="3" t="s">
        <v>2222</v>
      </c>
      <c r="M607" s="3" t="s">
        <v>0</v>
      </c>
      <c r="N607" s="3" t="s">
        <v>0</v>
      </c>
      <c r="O607" s="3">
        <v>16</v>
      </c>
      <c r="P607" s="3">
        <v>13</v>
      </c>
      <c r="Q607" s="3" t="s">
        <v>352</v>
      </c>
      <c r="R607" s="3" t="s">
        <v>61</v>
      </c>
      <c r="S607" s="3">
        <v>3</v>
      </c>
      <c r="T607" s="3">
        <v>0</v>
      </c>
      <c r="U607" s="3">
        <v>3</v>
      </c>
      <c r="V607" s="3">
        <v>3</v>
      </c>
      <c r="W607" s="3">
        <v>0</v>
      </c>
      <c r="X607" s="3" t="s">
        <v>147</v>
      </c>
      <c r="Y607" s="3">
        <v>0</v>
      </c>
      <c r="Z607" s="3">
        <v>0</v>
      </c>
      <c r="AA607" s="3">
        <v>0</v>
      </c>
      <c r="AB607" s="3">
        <v>0</v>
      </c>
      <c r="AC607" s="3">
        <v>4</v>
      </c>
      <c r="AD607" s="3">
        <v>3</v>
      </c>
      <c r="AE607" s="3">
        <v>14</v>
      </c>
      <c r="AF607" s="3" t="s">
        <v>0</v>
      </c>
      <c r="AG607" s="3" t="s">
        <v>0</v>
      </c>
    </row>
    <row r="608" spans="1:33" ht="63.75" x14ac:dyDescent="0.2">
      <c r="A608" s="4" t="str">
        <f>HYPERLINK("http://www.patentics.cn/invokexml.do?sf=ShowPatent&amp;spn=CN101917729&amp;sv=ae38f868d0348eb4796fe01970d26921","CN101917729")</f>
        <v>CN101917729</v>
      </c>
      <c r="B608" s="2" t="s">
        <v>2811</v>
      </c>
      <c r="C608" s="2" t="s">
        <v>2812</v>
      </c>
      <c r="D608" s="2" t="s">
        <v>38</v>
      </c>
      <c r="E608" s="2" t="s">
        <v>38</v>
      </c>
      <c r="F608" s="2" t="s">
        <v>2813</v>
      </c>
      <c r="G608" s="2" t="s">
        <v>2814</v>
      </c>
      <c r="H608" s="2" t="s">
        <v>2815</v>
      </c>
      <c r="I608" s="2" t="s">
        <v>2815</v>
      </c>
      <c r="J608" s="2" t="s">
        <v>2816</v>
      </c>
      <c r="K608" s="2" t="s">
        <v>82</v>
      </c>
      <c r="L608" s="2" t="s">
        <v>2817</v>
      </c>
      <c r="M608" s="2" t="s">
        <v>0</v>
      </c>
      <c r="N608" s="2" t="s">
        <v>0</v>
      </c>
      <c r="O608" s="2">
        <v>15</v>
      </c>
      <c r="P608" s="2">
        <v>9</v>
      </c>
      <c r="Q608" s="2" t="s">
        <v>46</v>
      </c>
      <c r="R608" s="2" t="s">
        <v>47</v>
      </c>
      <c r="S608" s="2">
        <v>0</v>
      </c>
      <c r="T608" s="2">
        <v>0</v>
      </c>
      <c r="U608" s="2">
        <v>0</v>
      </c>
      <c r="V608" s="2">
        <v>0</v>
      </c>
      <c r="W608" s="2">
        <v>10</v>
      </c>
      <c r="X608" s="2" t="s">
        <v>2818</v>
      </c>
      <c r="Y608" s="2">
        <v>2</v>
      </c>
      <c r="Z608" s="2">
        <v>8</v>
      </c>
      <c r="AA608" s="2">
        <v>5</v>
      </c>
      <c r="AB608" s="2">
        <v>3</v>
      </c>
      <c r="AC608" s="2">
        <v>1</v>
      </c>
      <c r="AD608" s="2">
        <v>2</v>
      </c>
      <c r="AE608" s="2" t="s">
        <v>0</v>
      </c>
      <c r="AF608" s="2">
        <v>4</v>
      </c>
      <c r="AG608" s="2" t="s">
        <v>49</v>
      </c>
    </row>
    <row r="609" spans="1:33" ht="102" x14ac:dyDescent="0.2">
      <c r="A609" s="5" t="str">
        <f>HYPERLINK("http://www.patentics.cn/invokexml.do?sf=ShowPatent&amp;spn=US9357557&amp;sv=65931d78dd5b4da46fdeea9f52cb35fd","US9357557")</f>
        <v>US9357557</v>
      </c>
      <c r="B609" s="3" t="s">
        <v>2819</v>
      </c>
      <c r="C609" s="3" t="s">
        <v>2820</v>
      </c>
      <c r="D609" s="3" t="s">
        <v>52</v>
      </c>
      <c r="E609" s="3" t="s">
        <v>52</v>
      </c>
      <c r="F609" s="3" t="s">
        <v>2821</v>
      </c>
      <c r="G609" s="3" t="s">
        <v>2822</v>
      </c>
      <c r="H609" s="3" t="s">
        <v>577</v>
      </c>
      <c r="I609" s="3" t="s">
        <v>2823</v>
      </c>
      <c r="J609" s="3" t="s">
        <v>1366</v>
      </c>
      <c r="K609" s="3" t="s">
        <v>82</v>
      </c>
      <c r="L609" s="3" t="s">
        <v>318</v>
      </c>
      <c r="M609" s="3" t="s">
        <v>82</v>
      </c>
      <c r="N609" s="3" t="s">
        <v>2824</v>
      </c>
      <c r="O609" s="3">
        <v>0</v>
      </c>
      <c r="P609" s="3">
        <v>18</v>
      </c>
      <c r="Q609" s="3" t="s">
        <v>60</v>
      </c>
      <c r="R609" s="3" t="s">
        <v>61</v>
      </c>
      <c r="S609" s="3">
        <v>101</v>
      </c>
      <c r="T609" s="3">
        <v>25</v>
      </c>
      <c r="U609" s="3">
        <v>76</v>
      </c>
      <c r="V609" s="3">
        <v>28</v>
      </c>
      <c r="W609" s="3">
        <v>14</v>
      </c>
      <c r="X609" s="3" t="s">
        <v>147</v>
      </c>
      <c r="Y609" s="3">
        <v>0</v>
      </c>
      <c r="Z609" s="3">
        <v>14</v>
      </c>
      <c r="AA609" s="3">
        <v>0</v>
      </c>
      <c r="AB609" s="3">
        <v>1</v>
      </c>
      <c r="AC609" s="3">
        <v>37</v>
      </c>
      <c r="AD609" s="3">
        <v>6</v>
      </c>
      <c r="AE609" s="3">
        <v>14</v>
      </c>
      <c r="AF609" s="3" t="s">
        <v>0</v>
      </c>
      <c r="AG609" s="3" t="s">
        <v>49</v>
      </c>
    </row>
    <row r="610" spans="1:33" ht="153" x14ac:dyDescent="0.2">
      <c r="A610" s="5" t="str">
        <f>HYPERLINK("http://www.patentics.cn/invokexml.do?sf=ShowPatent&amp;spn=US9369930&amp;sv=73b848463566e02e4ecff150f1209897","US9369930")</f>
        <v>US9369930</v>
      </c>
      <c r="B610" s="3" t="s">
        <v>2825</v>
      </c>
      <c r="C610" s="3" t="s">
        <v>2826</v>
      </c>
      <c r="D610" s="3" t="s">
        <v>52</v>
      </c>
      <c r="E610" s="3" t="s">
        <v>52</v>
      </c>
      <c r="F610" s="3" t="s">
        <v>2827</v>
      </c>
      <c r="G610" s="3" t="s">
        <v>2822</v>
      </c>
      <c r="H610" s="3" t="s">
        <v>577</v>
      </c>
      <c r="I610" s="3" t="s">
        <v>2828</v>
      </c>
      <c r="J610" s="3" t="s">
        <v>2829</v>
      </c>
      <c r="K610" s="3" t="s">
        <v>82</v>
      </c>
      <c r="L610" s="3" t="s">
        <v>177</v>
      </c>
      <c r="M610" s="3" t="s">
        <v>82</v>
      </c>
      <c r="N610" s="3" t="s">
        <v>2830</v>
      </c>
      <c r="O610" s="3">
        <v>0</v>
      </c>
      <c r="P610" s="3">
        <v>10</v>
      </c>
      <c r="Q610" s="3" t="s">
        <v>60</v>
      </c>
      <c r="R610" s="3" t="s">
        <v>61</v>
      </c>
      <c r="S610" s="3">
        <v>103</v>
      </c>
      <c r="T610" s="3">
        <v>25</v>
      </c>
      <c r="U610" s="3">
        <v>78</v>
      </c>
      <c r="V610" s="3">
        <v>28</v>
      </c>
      <c r="W610" s="3">
        <v>14</v>
      </c>
      <c r="X610" s="3" t="s">
        <v>147</v>
      </c>
      <c r="Y610" s="3">
        <v>0</v>
      </c>
      <c r="Z610" s="3">
        <v>14</v>
      </c>
      <c r="AA610" s="3">
        <v>0</v>
      </c>
      <c r="AB610" s="3">
        <v>1</v>
      </c>
      <c r="AC610" s="3">
        <v>37</v>
      </c>
      <c r="AD610" s="3">
        <v>6</v>
      </c>
      <c r="AE610" s="3">
        <v>14</v>
      </c>
      <c r="AF610" s="3" t="s">
        <v>0</v>
      </c>
      <c r="AG610" s="3" t="s">
        <v>49</v>
      </c>
    </row>
    <row r="611" spans="1:33" ht="153" x14ac:dyDescent="0.2">
      <c r="A611" s="5" t="str">
        <f>HYPERLINK("http://www.patentics.cn/invokexml.do?sf=ShowPatent&amp;spn=US9426703&amp;sv=c33786d1d7a267c1089275f32d2dca57","US9426703")</f>
        <v>US9426703</v>
      </c>
      <c r="B611" s="3" t="s">
        <v>2831</v>
      </c>
      <c r="C611" s="3" t="s">
        <v>2826</v>
      </c>
      <c r="D611" s="3" t="s">
        <v>52</v>
      </c>
      <c r="E611" s="3" t="s">
        <v>52</v>
      </c>
      <c r="F611" s="3" t="s">
        <v>2827</v>
      </c>
      <c r="G611" s="3" t="s">
        <v>2822</v>
      </c>
      <c r="H611" s="3" t="s">
        <v>577</v>
      </c>
      <c r="I611" s="3" t="s">
        <v>2832</v>
      </c>
      <c r="J611" s="3" t="s">
        <v>325</v>
      </c>
      <c r="K611" s="3" t="s">
        <v>82</v>
      </c>
      <c r="L611" s="3" t="s">
        <v>318</v>
      </c>
      <c r="M611" s="3" t="s">
        <v>82</v>
      </c>
      <c r="N611" s="3" t="s">
        <v>2830</v>
      </c>
      <c r="O611" s="3">
        <v>0</v>
      </c>
      <c r="P611" s="3">
        <v>19</v>
      </c>
      <c r="Q611" s="3" t="s">
        <v>60</v>
      </c>
      <c r="R611" s="3" t="s">
        <v>61</v>
      </c>
      <c r="S611" s="3">
        <v>103</v>
      </c>
      <c r="T611" s="3">
        <v>25</v>
      </c>
      <c r="U611" s="3">
        <v>78</v>
      </c>
      <c r="V611" s="3">
        <v>28</v>
      </c>
      <c r="W611" s="3">
        <v>0</v>
      </c>
      <c r="X611" s="3" t="s">
        <v>147</v>
      </c>
      <c r="Y611" s="3">
        <v>0</v>
      </c>
      <c r="Z611" s="3">
        <v>0</v>
      </c>
      <c r="AA611" s="3">
        <v>0</v>
      </c>
      <c r="AB611" s="3">
        <v>0</v>
      </c>
      <c r="AC611" s="3">
        <v>37</v>
      </c>
      <c r="AD611" s="3">
        <v>6</v>
      </c>
      <c r="AE611" s="3">
        <v>14</v>
      </c>
      <c r="AF611" s="3" t="s">
        <v>0</v>
      </c>
      <c r="AG611" s="3" t="s">
        <v>49</v>
      </c>
    </row>
    <row r="612" spans="1:33" ht="114.75" x14ac:dyDescent="0.2">
      <c r="A612" s="5" t="str">
        <f>HYPERLINK("http://www.patentics.cn/invokexml.do?sf=ShowPatent&amp;spn=US9544108&amp;sv=5c7573f6406ad01e51ab89e1f2a1cf9e","US9544108")</f>
        <v>US9544108</v>
      </c>
      <c r="B612" s="3" t="s">
        <v>2833</v>
      </c>
      <c r="C612" s="3" t="s">
        <v>2820</v>
      </c>
      <c r="D612" s="3" t="s">
        <v>52</v>
      </c>
      <c r="E612" s="3" t="s">
        <v>52</v>
      </c>
      <c r="F612" s="3" t="s">
        <v>2834</v>
      </c>
      <c r="G612" s="3" t="s">
        <v>2822</v>
      </c>
      <c r="H612" s="3" t="s">
        <v>577</v>
      </c>
      <c r="I612" s="3" t="s">
        <v>2835</v>
      </c>
      <c r="J612" s="3" t="s">
        <v>861</v>
      </c>
      <c r="K612" s="3" t="s">
        <v>82</v>
      </c>
      <c r="L612" s="3" t="s">
        <v>2215</v>
      </c>
      <c r="M612" s="3" t="s">
        <v>58</v>
      </c>
      <c r="N612" s="3" t="s">
        <v>335</v>
      </c>
      <c r="O612" s="3">
        <v>0</v>
      </c>
      <c r="P612" s="3">
        <v>19</v>
      </c>
      <c r="Q612" s="3" t="s">
        <v>60</v>
      </c>
      <c r="R612" s="3" t="s">
        <v>61</v>
      </c>
      <c r="S612" s="3">
        <v>105</v>
      </c>
      <c r="T612" s="3">
        <v>25</v>
      </c>
      <c r="U612" s="3">
        <v>80</v>
      </c>
      <c r="V612" s="3">
        <v>28</v>
      </c>
      <c r="W612" s="3">
        <v>0</v>
      </c>
      <c r="X612" s="3" t="s">
        <v>147</v>
      </c>
      <c r="Y612" s="3">
        <v>0</v>
      </c>
      <c r="Z612" s="3">
        <v>0</v>
      </c>
      <c r="AA612" s="3">
        <v>0</v>
      </c>
      <c r="AB612" s="3">
        <v>0</v>
      </c>
      <c r="AC612" s="3">
        <v>37</v>
      </c>
      <c r="AD612" s="3">
        <v>6</v>
      </c>
      <c r="AE612" s="3">
        <v>14</v>
      </c>
      <c r="AF612" s="3" t="s">
        <v>0</v>
      </c>
      <c r="AG612" s="3" t="s">
        <v>49</v>
      </c>
    </row>
    <row r="613" spans="1:33" x14ac:dyDescent="0.2">
      <c r="A613" s="4" t="str">
        <f>HYPERLINK("http://www.patentics.cn/invokexml.do?sf=ShowPatent&amp;spn=CN101888587&amp;sv=ad4eb43231957c3c5a3f5dab48218501","CN101888587")</f>
        <v>CN101888587</v>
      </c>
      <c r="B613" s="2" t="s">
        <v>2836</v>
      </c>
      <c r="C613" s="2" t="s">
        <v>2837</v>
      </c>
      <c r="D613" s="2" t="s">
        <v>38</v>
      </c>
      <c r="E613" s="2" t="s">
        <v>38</v>
      </c>
      <c r="F613" s="2" t="s">
        <v>2838</v>
      </c>
      <c r="G613" s="2" t="s">
        <v>2839</v>
      </c>
      <c r="H613" s="2" t="s">
        <v>885</v>
      </c>
      <c r="I613" s="2" t="s">
        <v>885</v>
      </c>
      <c r="J613" s="2" t="s">
        <v>2840</v>
      </c>
      <c r="K613" s="2" t="s">
        <v>82</v>
      </c>
      <c r="L613" s="2" t="s">
        <v>2841</v>
      </c>
      <c r="M613" s="2" t="s">
        <v>0</v>
      </c>
      <c r="N613" s="2" t="s">
        <v>0</v>
      </c>
      <c r="O613" s="2">
        <v>10</v>
      </c>
      <c r="P613" s="2">
        <v>10</v>
      </c>
      <c r="Q613" s="2" t="s">
        <v>46</v>
      </c>
      <c r="R613" s="2" t="s">
        <v>47</v>
      </c>
      <c r="S613" s="2">
        <v>0</v>
      </c>
      <c r="T613" s="2">
        <v>0</v>
      </c>
      <c r="U613" s="2">
        <v>0</v>
      </c>
      <c r="V613" s="2">
        <v>0</v>
      </c>
      <c r="W613" s="2">
        <v>5</v>
      </c>
      <c r="X613" s="2" t="s">
        <v>2842</v>
      </c>
      <c r="Y613" s="2">
        <v>0</v>
      </c>
      <c r="Z613" s="2">
        <v>5</v>
      </c>
      <c r="AA613" s="2">
        <v>2</v>
      </c>
      <c r="AB613" s="2">
        <v>2</v>
      </c>
      <c r="AC613" s="2">
        <v>2</v>
      </c>
      <c r="AD613" s="2">
        <v>2</v>
      </c>
      <c r="AE613" s="2" t="s">
        <v>0</v>
      </c>
      <c r="AF613" s="2">
        <v>4</v>
      </c>
      <c r="AG613" s="2" t="s">
        <v>49</v>
      </c>
    </row>
    <row r="614" spans="1:33" ht="51" x14ac:dyDescent="0.2">
      <c r="A614" s="5" t="str">
        <f>HYPERLINK("http://www.patentics.cn/invokexml.do?sf=ShowPatent&amp;spn=US8909239&amp;sv=e065fc2075eb9bf0b1d52d69aea669a9","US8909239")</f>
        <v>US8909239</v>
      </c>
      <c r="B614" s="3" t="s">
        <v>2843</v>
      </c>
      <c r="C614" s="3" t="s">
        <v>2844</v>
      </c>
      <c r="D614" s="3" t="s">
        <v>52</v>
      </c>
      <c r="E614" s="3" t="s">
        <v>52</v>
      </c>
      <c r="F614" s="3" t="s">
        <v>2845</v>
      </c>
      <c r="G614" s="3" t="s">
        <v>2846</v>
      </c>
      <c r="H614" s="3" t="s">
        <v>2847</v>
      </c>
      <c r="I614" s="3" t="s">
        <v>2375</v>
      </c>
      <c r="J614" s="3" t="s">
        <v>2848</v>
      </c>
      <c r="K614" s="3" t="s">
        <v>82</v>
      </c>
      <c r="L614" s="3" t="s">
        <v>2849</v>
      </c>
      <c r="M614" s="3" t="s">
        <v>1935</v>
      </c>
      <c r="N614" s="3" t="s">
        <v>2850</v>
      </c>
      <c r="O614" s="3">
        <v>0</v>
      </c>
      <c r="P614" s="3">
        <v>12</v>
      </c>
      <c r="Q614" s="3" t="s">
        <v>60</v>
      </c>
      <c r="R614" s="3" t="s">
        <v>61</v>
      </c>
      <c r="S614" s="3">
        <v>30</v>
      </c>
      <c r="T614" s="3">
        <v>5</v>
      </c>
      <c r="U614" s="3">
        <v>25</v>
      </c>
      <c r="V614" s="3">
        <v>13</v>
      </c>
      <c r="W614" s="3">
        <v>0</v>
      </c>
      <c r="X614" s="3" t="s">
        <v>147</v>
      </c>
      <c r="Y614" s="3">
        <v>0</v>
      </c>
      <c r="Z614" s="3">
        <v>0</v>
      </c>
      <c r="AA614" s="3">
        <v>0</v>
      </c>
      <c r="AB614" s="3">
        <v>0</v>
      </c>
      <c r="AC614" s="3">
        <v>16</v>
      </c>
      <c r="AD614" s="3">
        <v>7</v>
      </c>
      <c r="AE614" s="3">
        <v>14</v>
      </c>
      <c r="AF614" s="3" t="s">
        <v>0</v>
      </c>
      <c r="AG614" s="3" t="s">
        <v>49</v>
      </c>
    </row>
    <row r="615" spans="1:33" ht="51" x14ac:dyDescent="0.2">
      <c r="A615" s="5" t="str">
        <f>HYPERLINK("http://www.patentics.cn/invokexml.do?sf=ShowPatent&amp;spn=US9119167&amp;sv=9097bb5427ea26e1990471fe1d8fab5a","US9119167")</f>
        <v>US9119167</v>
      </c>
      <c r="B615" s="3" t="s">
        <v>2851</v>
      </c>
      <c r="C615" s="3" t="s">
        <v>2852</v>
      </c>
      <c r="D615" s="3" t="s">
        <v>52</v>
      </c>
      <c r="E615" s="3" t="s">
        <v>52</v>
      </c>
      <c r="F615" s="3" t="s">
        <v>2845</v>
      </c>
      <c r="G615" s="3" t="s">
        <v>2846</v>
      </c>
      <c r="H615" s="3" t="s">
        <v>2847</v>
      </c>
      <c r="I615" s="3" t="s">
        <v>2375</v>
      </c>
      <c r="J615" s="3" t="s">
        <v>1085</v>
      </c>
      <c r="K615" s="3" t="s">
        <v>82</v>
      </c>
      <c r="L615" s="3" t="s">
        <v>2849</v>
      </c>
      <c r="M615" s="3" t="s">
        <v>0</v>
      </c>
      <c r="N615" s="3" t="s">
        <v>0</v>
      </c>
      <c r="O615" s="3">
        <v>0</v>
      </c>
      <c r="P615" s="3">
        <v>10</v>
      </c>
      <c r="Q615" s="3" t="s">
        <v>60</v>
      </c>
      <c r="R615" s="3" t="s">
        <v>61</v>
      </c>
      <c r="S615" s="3">
        <v>32</v>
      </c>
      <c r="T615" s="3">
        <v>5</v>
      </c>
      <c r="U615" s="3">
        <v>27</v>
      </c>
      <c r="V615" s="3">
        <v>14</v>
      </c>
      <c r="W615" s="3">
        <v>0</v>
      </c>
      <c r="X615" s="3" t="s">
        <v>147</v>
      </c>
      <c r="Y615" s="3">
        <v>0</v>
      </c>
      <c r="Z615" s="3">
        <v>0</v>
      </c>
      <c r="AA615" s="3">
        <v>0</v>
      </c>
      <c r="AB615" s="3">
        <v>0</v>
      </c>
      <c r="AC615" s="3">
        <v>16</v>
      </c>
      <c r="AD615" s="3">
        <v>7</v>
      </c>
      <c r="AE615" s="3">
        <v>14</v>
      </c>
      <c r="AF615" s="3" t="s">
        <v>0</v>
      </c>
      <c r="AG615" s="3" t="s">
        <v>49</v>
      </c>
    </row>
    <row r="616" spans="1:33" ht="89.25" x14ac:dyDescent="0.2">
      <c r="A616" s="5" t="str">
        <f>HYPERLINK("http://www.patentics.cn/invokexml.do?sf=ShowPatent&amp;spn=US9271256&amp;sv=b486a34681f62a275022539b0220a0f6","US9271256")</f>
        <v>US9271256</v>
      </c>
      <c r="B616" s="3" t="s">
        <v>2853</v>
      </c>
      <c r="C616" s="3" t="s">
        <v>2854</v>
      </c>
      <c r="D616" s="3" t="s">
        <v>52</v>
      </c>
      <c r="E616" s="3" t="s">
        <v>52</v>
      </c>
      <c r="F616" s="3" t="s">
        <v>2855</v>
      </c>
      <c r="G616" s="3" t="s">
        <v>2846</v>
      </c>
      <c r="H616" s="3" t="s">
        <v>2847</v>
      </c>
      <c r="I616" s="3" t="s">
        <v>2375</v>
      </c>
      <c r="J616" s="3" t="s">
        <v>669</v>
      </c>
      <c r="K616" s="3" t="s">
        <v>333</v>
      </c>
      <c r="L616" s="3" t="s">
        <v>2856</v>
      </c>
      <c r="M616" s="3" t="s">
        <v>82</v>
      </c>
      <c r="N616" s="3" t="s">
        <v>2259</v>
      </c>
      <c r="O616" s="3">
        <v>0</v>
      </c>
      <c r="P616" s="3">
        <v>17</v>
      </c>
      <c r="Q616" s="3" t="s">
        <v>60</v>
      </c>
      <c r="R616" s="3" t="s">
        <v>61</v>
      </c>
      <c r="S616" s="3">
        <v>33</v>
      </c>
      <c r="T616" s="3">
        <v>5</v>
      </c>
      <c r="U616" s="3">
        <v>28</v>
      </c>
      <c r="V616" s="3">
        <v>14</v>
      </c>
      <c r="W616" s="3">
        <v>0</v>
      </c>
      <c r="X616" s="3" t="s">
        <v>147</v>
      </c>
      <c r="Y616" s="3">
        <v>0</v>
      </c>
      <c r="Z616" s="3">
        <v>0</v>
      </c>
      <c r="AA616" s="3">
        <v>0</v>
      </c>
      <c r="AB616" s="3">
        <v>0</v>
      </c>
      <c r="AC616" s="3">
        <v>16</v>
      </c>
      <c r="AD616" s="3">
        <v>7</v>
      </c>
      <c r="AE616" s="3">
        <v>14</v>
      </c>
      <c r="AF616" s="3" t="s">
        <v>0</v>
      </c>
      <c r="AG616" s="3" t="s">
        <v>49</v>
      </c>
    </row>
    <row r="617" spans="1:33" ht="89.25" x14ac:dyDescent="0.2">
      <c r="A617" s="5" t="str">
        <f>HYPERLINK("http://www.patentics.cn/invokexml.do?sf=ShowPatent&amp;spn=WO2013033464&amp;sv=85bcf099660222273b25117a540c9e8d","WO2013033464")</f>
        <v>WO2013033464</v>
      </c>
      <c r="B617" s="3" t="s">
        <v>2857</v>
      </c>
      <c r="C617" s="3" t="s">
        <v>2852</v>
      </c>
      <c r="D617" s="3" t="s">
        <v>2858</v>
      </c>
      <c r="E617" s="3" t="s">
        <v>2859</v>
      </c>
      <c r="F617" s="3" t="s">
        <v>2860</v>
      </c>
      <c r="G617" s="3" t="s">
        <v>2861</v>
      </c>
      <c r="H617" s="3" t="s">
        <v>2847</v>
      </c>
      <c r="I617" s="3" t="s">
        <v>2762</v>
      </c>
      <c r="J617" s="3" t="s">
        <v>1081</v>
      </c>
      <c r="K617" s="3" t="s">
        <v>82</v>
      </c>
      <c r="L617" s="3" t="s">
        <v>2841</v>
      </c>
      <c r="M617" s="3" t="s">
        <v>0</v>
      </c>
      <c r="N617" s="3" t="s">
        <v>0</v>
      </c>
      <c r="O617" s="3">
        <v>133</v>
      </c>
      <c r="P617" s="3">
        <v>7</v>
      </c>
      <c r="Q617" s="3" t="s">
        <v>352</v>
      </c>
      <c r="R617" s="3" t="s">
        <v>61</v>
      </c>
      <c r="S617" s="3">
        <v>4</v>
      </c>
      <c r="T617" s="3">
        <v>1</v>
      </c>
      <c r="U617" s="3">
        <v>3</v>
      </c>
      <c r="V617" s="3">
        <v>3</v>
      </c>
      <c r="W617" s="3">
        <v>3</v>
      </c>
      <c r="X617" s="3" t="s">
        <v>434</v>
      </c>
      <c r="Y617" s="3">
        <v>2</v>
      </c>
      <c r="Z617" s="3">
        <v>1</v>
      </c>
      <c r="AA617" s="3">
        <v>2</v>
      </c>
      <c r="AB617" s="3">
        <v>2</v>
      </c>
      <c r="AC617" s="3">
        <v>16</v>
      </c>
      <c r="AD617" s="3">
        <v>7</v>
      </c>
      <c r="AE617" s="3">
        <v>14</v>
      </c>
      <c r="AF617" s="3" t="s">
        <v>0</v>
      </c>
      <c r="AG617" s="3" t="s">
        <v>0</v>
      </c>
    </row>
    <row r="618" spans="1:33" ht="38.25" x14ac:dyDescent="0.2">
      <c r="A618" s="4" t="str">
        <f>HYPERLINK("http://www.patentics.cn/invokexml.do?sf=ShowPatent&amp;spn=CN101541063&amp;sv=c491256704e706c8553eae949b5eb3cc","CN101541063")</f>
        <v>CN101541063</v>
      </c>
      <c r="B618" s="2" t="s">
        <v>2862</v>
      </c>
      <c r="C618" s="2" t="s">
        <v>2863</v>
      </c>
      <c r="D618" s="2" t="s">
        <v>38</v>
      </c>
      <c r="E618" s="2" t="s">
        <v>38</v>
      </c>
      <c r="F618" s="2" t="s">
        <v>2864</v>
      </c>
      <c r="G618" s="2" t="s">
        <v>2491</v>
      </c>
      <c r="H618" s="2" t="s">
        <v>2865</v>
      </c>
      <c r="I618" s="2" t="s">
        <v>2865</v>
      </c>
      <c r="J618" s="2" t="s">
        <v>2866</v>
      </c>
      <c r="K618" s="2" t="s">
        <v>82</v>
      </c>
      <c r="L618" s="2" t="s">
        <v>2457</v>
      </c>
      <c r="M618" s="2" t="s">
        <v>0</v>
      </c>
      <c r="N618" s="2" t="s">
        <v>0</v>
      </c>
      <c r="O618" s="2">
        <v>11</v>
      </c>
      <c r="P618" s="2">
        <v>13</v>
      </c>
      <c r="Q618" s="2" t="s">
        <v>46</v>
      </c>
      <c r="R618" s="2" t="s">
        <v>47</v>
      </c>
      <c r="S618" s="2">
        <v>0</v>
      </c>
      <c r="T618" s="2">
        <v>0</v>
      </c>
      <c r="U618" s="2">
        <v>0</v>
      </c>
      <c r="V618" s="2">
        <v>0</v>
      </c>
      <c r="W618" s="2">
        <v>44</v>
      </c>
      <c r="X618" s="2" t="s">
        <v>2867</v>
      </c>
      <c r="Y618" s="2">
        <v>17</v>
      </c>
      <c r="Z618" s="2">
        <v>27</v>
      </c>
      <c r="AA618" s="2">
        <v>11</v>
      </c>
      <c r="AB618" s="2">
        <v>5</v>
      </c>
      <c r="AC618" s="2">
        <v>1</v>
      </c>
      <c r="AD618" s="2">
        <v>1</v>
      </c>
      <c r="AE618" s="2" t="s">
        <v>0</v>
      </c>
      <c r="AF618" s="2">
        <v>4</v>
      </c>
      <c r="AG618" s="2" t="s">
        <v>49</v>
      </c>
    </row>
    <row r="619" spans="1:33" ht="127.5" x14ac:dyDescent="0.2">
      <c r="A619" s="5" t="str">
        <f>HYPERLINK("http://www.patentics.cn/invokexml.do?sf=ShowPatent&amp;spn=US9055576&amp;sv=99346b92200ed106fb10ca24b11f8bde","US9055576")</f>
        <v>US9055576</v>
      </c>
      <c r="B619" s="3" t="s">
        <v>1149</v>
      </c>
      <c r="C619" s="3" t="s">
        <v>1150</v>
      </c>
      <c r="D619" s="3" t="s">
        <v>52</v>
      </c>
      <c r="E619" s="3" t="s">
        <v>52</v>
      </c>
      <c r="F619" s="3" t="s">
        <v>1151</v>
      </c>
      <c r="G619" s="3" t="s">
        <v>1091</v>
      </c>
      <c r="H619" s="3" t="s">
        <v>1152</v>
      </c>
      <c r="I619" s="3" t="s">
        <v>1153</v>
      </c>
      <c r="J619" s="3" t="s">
        <v>1154</v>
      </c>
      <c r="K619" s="3" t="s">
        <v>82</v>
      </c>
      <c r="L619" s="3" t="s">
        <v>83</v>
      </c>
      <c r="M619" s="3" t="s">
        <v>0</v>
      </c>
      <c r="N619" s="3" t="s">
        <v>0</v>
      </c>
      <c r="O619" s="3">
        <v>0</v>
      </c>
      <c r="P619" s="3">
        <v>13</v>
      </c>
      <c r="Q619" s="3" t="s">
        <v>60</v>
      </c>
      <c r="R619" s="3" t="s">
        <v>61</v>
      </c>
      <c r="S619" s="3">
        <v>19</v>
      </c>
      <c r="T619" s="3">
        <v>0</v>
      </c>
      <c r="U619" s="3">
        <v>19</v>
      </c>
      <c r="V619" s="3">
        <v>10</v>
      </c>
      <c r="W619" s="3">
        <v>7</v>
      </c>
      <c r="X619" s="3" t="s">
        <v>403</v>
      </c>
      <c r="Y619" s="3">
        <v>0</v>
      </c>
      <c r="Z619" s="3">
        <v>7</v>
      </c>
      <c r="AA619" s="3">
        <v>1</v>
      </c>
      <c r="AB619" s="3">
        <v>2</v>
      </c>
      <c r="AC619" s="3">
        <v>10</v>
      </c>
      <c r="AD619" s="3">
        <v>7</v>
      </c>
      <c r="AE619" s="3">
        <v>14</v>
      </c>
      <c r="AF619" s="3" t="s">
        <v>0</v>
      </c>
      <c r="AG619" s="3" t="s">
        <v>49</v>
      </c>
    </row>
    <row r="620" spans="1:33" ht="63.75" x14ac:dyDescent="0.2">
      <c r="A620" s="5" t="str">
        <f>HYPERLINK("http://www.patentics.cn/invokexml.do?sf=ShowPatent&amp;spn=US9276722&amp;sv=af6bdbd477d3371bc14adce2480f0180","US9276722")</f>
        <v>US9276722</v>
      </c>
      <c r="B620" s="3" t="s">
        <v>2868</v>
      </c>
      <c r="C620" s="3" t="s">
        <v>2869</v>
      </c>
      <c r="D620" s="3" t="s">
        <v>52</v>
      </c>
      <c r="E620" s="3" t="s">
        <v>52</v>
      </c>
      <c r="F620" s="3" t="s">
        <v>2870</v>
      </c>
      <c r="G620" s="3" t="s">
        <v>2871</v>
      </c>
      <c r="H620" s="3" t="s">
        <v>2658</v>
      </c>
      <c r="I620" s="3" t="s">
        <v>2872</v>
      </c>
      <c r="J620" s="3" t="s">
        <v>965</v>
      </c>
      <c r="K620" s="3" t="s">
        <v>84</v>
      </c>
      <c r="L620" s="3" t="s">
        <v>278</v>
      </c>
      <c r="M620" s="3" t="s">
        <v>58</v>
      </c>
      <c r="N620" s="3" t="s">
        <v>2509</v>
      </c>
      <c r="O620" s="3">
        <v>0</v>
      </c>
      <c r="P620" s="3">
        <v>11</v>
      </c>
      <c r="Q620" s="3" t="s">
        <v>60</v>
      </c>
      <c r="R620" s="3" t="s">
        <v>61</v>
      </c>
      <c r="S620" s="3">
        <v>18</v>
      </c>
      <c r="T620" s="3">
        <v>1</v>
      </c>
      <c r="U620" s="3">
        <v>17</v>
      </c>
      <c r="V620" s="3">
        <v>12</v>
      </c>
      <c r="W620" s="3">
        <v>0</v>
      </c>
      <c r="X620" s="3" t="s">
        <v>147</v>
      </c>
      <c r="Y620" s="3">
        <v>0</v>
      </c>
      <c r="Z620" s="3">
        <v>0</v>
      </c>
      <c r="AA620" s="3">
        <v>0</v>
      </c>
      <c r="AB620" s="3">
        <v>0</v>
      </c>
      <c r="AC620" s="3">
        <v>10</v>
      </c>
      <c r="AD620" s="3">
        <v>7</v>
      </c>
      <c r="AE620" s="3">
        <v>14</v>
      </c>
      <c r="AF620" s="3" t="s">
        <v>0</v>
      </c>
      <c r="AG620" s="3" t="s">
        <v>49</v>
      </c>
    </row>
    <row r="621" spans="1:33" ht="63.75" x14ac:dyDescent="0.2">
      <c r="A621" s="5" t="str">
        <f>HYPERLINK("http://www.patentics.cn/invokexml.do?sf=ShowPatent&amp;spn=CN102550108B&amp;sv=5347d7b440b657109cf48b228e42a1ba","CN102550108B")</f>
        <v>CN102550108B</v>
      </c>
      <c r="B621" s="3" t="s">
        <v>2873</v>
      </c>
      <c r="C621" s="3" t="s">
        <v>2874</v>
      </c>
      <c r="D621" s="3" t="s">
        <v>338</v>
      </c>
      <c r="E621" s="3" t="s">
        <v>338</v>
      </c>
      <c r="F621" s="3" t="s">
        <v>2875</v>
      </c>
      <c r="G621" s="3" t="s">
        <v>1190</v>
      </c>
      <c r="H621" s="3" t="s">
        <v>1152</v>
      </c>
      <c r="I621" s="3" t="s">
        <v>909</v>
      </c>
      <c r="J621" s="3" t="s">
        <v>2876</v>
      </c>
      <c r="K621" s="3" t="s">
        <v>58</v>
      </c>
      <c r="L621" s="3" t="s">
        <v>722</v>
      </c>
      <c r="M621" s="3" t="s">
        <v>0</v>
      </c>
      <c r="N621" s="3" t="s">
        <v>0</v>
      </c>
      <c r="O621" s="3">
        <v>29</v>
      </c>
      <c r="P621" s="3">
        <v>15</v>
      </c>
      <c r="Q621" s="3" t="s">
        <v>60</v>
      </c>
      <c r="R621" s="3" t="s">
        <v>61</v>
      </c>
      <c r="S621" s="3">
        <v>3</v>
      </c>
      <c r="T621" s="3">
        <v>0</v>
      </c>
      <c r="U621" s="3">
        <v>3</v>
      </c>
      <c r="V621" s="3">
        <v>2</v>
      </c>
      <c r="W621" s="3">
        <v>6</v>
      </c>
      <c r="X621" s="3" t="s">
        <v>147</v>
      </c>
      <c r="Y621" s="3">
        <v>0</v>
      </c>
      <c r="Z621" s="3">
        <v>6</v>
      </c>
      <c r="AA621" s="3">
        <v>0</v>
      </c>
      <c r="AB621" s="3">
        <v>1</v>
      </c>
      <c r="AC621" s="3">
        <v>0</v>
      </c>
      <c r="AD621" s="3">
        <v>0</v>
      </c>
      <c r="AE621" s="3">
        <v>14</v>
      </c>
      <c r="AF621" s="3" t="s">
        <v>0</v>
      </c>
      <c r="AG621" s="3" t="s">
        <v>49</v>
      </c>
    </row>
    <row r="622" spans="1:33" ht="25.5" x14ac:dyDescent="0.2">
      <c r="A622" s="5" t="str">
        <f>HYPERLINK("http://www.patentics.cn/invokexml.do?sf=ShowPatent&amp;spn=CN102884752B&amp;sv=75b41733734a9cc46688386a5da6aa88","CN102884752B")</f>
        <v>CN102884752B</v>
      </c>
      <c r="B622" s="3" t="s">
        <v>2877</v>
      </c>
      <c r="C622" s="3" t="s">
        <v>2878</v>
      </c>
      <c r="D622" s="3" t="s">
        <v>338</v>
      </c>
      <c r="E622" s="3" t="s">
        <v>338</v>
      </c>
      <c r="F622" s="3" t="s">
        <v>2879</v>
      </c>
      <c r="G622" s="3" t="s">
        <v>2880</v>
      </c>
      <c r="H622" s="3" t="s">
        <v>2658</v>
      </c>
      <c r="I622" s="3" t="s">
        <v>2881</v>
      </c>
      <c r="J622" s="3" t="s">
        <v>2882</v>
      </c>
      <c r="K622" s="3" t="s">
        <v>58</v>
      </c>
      <c r="L622" s="3" t="s">
        <v>188</v>
      </c>
      <c r="M622" s="3" t="s">
        <v>0</v>
      </c>
      <c r="N622" s="3" t="s">
        <v>0</v>
      </c>
      <c r="O622" s="3">
        <v>36</v>
      </c>
      <c r="P622" s="3">
        <v>12</v>
      </c>
      <c r="Q622" s="3" t="s">
        <v>60</v>
      </c>
      <c r="R622" s="3" t="s">
        <v>61</v>
      </c>
      <c r="S622" s="3">
        <v>2</v>
      </c>
      <c r="T622" s="3">
        <v>0</v>
      </c>
      <c r="U622" s="3">
        <v>2</v>
      </c>
      <c r="V622" s="3">
        <v>2</v>
      </c>
      <c r="W622" s="3">
        <v>0</v>
      </c>
      <c r="X622" s="3" t="s">
        <v>147</v>
      </c>
      <c r="Y622" s="3">
        <v>0</v>
      </c>
      <c r="Z622" s="3">
        <v>0</v>
      </c>
      <c r="AA622" s="3">
        <v>0</v>
      </c>
      <c r="AB622" s="3">
        <v>0</v>
      </c>
      <c r="AC622" s="3">
        <v>0</v>
      </c>
      <c r="AD622" s="3">
        <v>0</v>
      </c>
      <c r="AE622" s="3">
        <v>14</v>
      </c>
      <c r="AF622" s="3" t="s">
        <v>0</v>
      </c>
      <c r="AG622" s="3" t="s">
        <v>49</v>
      </c>
    </row>
    <row r="623" spans="1:33" ht="25.5" x14ac:dyDescent="0.2">
      <c r="A623" s="4" t="str">
        <f>HYPERLINK("http://www.patentics.cn/invokexml.do?sf=ShowPatent&amp;spn=CN101534473&amp;sv=89c3fd4783727af22fb8515bcc9bfffc","CN101534473")</f>
        <v>CN101534473</v>
      </c>
      <c r="B623" s="2" t="s">
        <v>2883</v>
      </c>
      <c r="C623" s="2" t="s">
        <v>2884</v>
      </c>
      <c r="D623" s="2" t="s">
        <v>38</v>
      </c>
      <c r="E623" s="2" t="s">
        <v>38</v>
      </c>
      <c r="F623" s="2" t="s">
        <v>2885</v>
      </c>
      <c r="G623" s="2" t="s">
        <v>2886</v>
      </c>
      <c r="H623" s="2" t="s">
        <v>2887</v>
      </c>
      <c r="I623" s="2" t="s">
        <v>2887</v>
      </c>
      <c r="J623" s="2" t="s">
        <v>1018</v>
      </c>
      <c r="K623" s="2" t="s">
        <v>82</v>
      </c>
      <c r="L623" s="2" t="s">
        <v>1767</v>
      </c>
      <c r="M623" s="2" t="s">
        <v>0</v>
      </c>
      <c r="N623" s="2" t="s">
        <v>0</v>
      </c>
      <c r="O623" s="2">
        <v>9</v>
      </c>
      <c r="P623" s="2">
        <v>18</v>
      </c>
      <c r="Q623" s="2" t="s">
        <v>46</v>
      </c>
      <c r="R623" s="2" t="s">
        <v>47</v>
      </c>
      <c r="S623" s="2">
        <v>0</v>
      </c>
      <c r="T623" s="2">
        <v>0</v>
      </c>
      <c r="U623" s="2">
        <v>0</v>
      </c>
      <c r="V623" s="2">
        <v>0</v>
      </c>
      <c r="W623" s="2">
        <v>18</v>
      </c>
      <c r="X623" s="2" t="s">
        <v>2888</v>
      </c>
      <c r="Y623" s="2">
        <v>4</v>
      </c>
      <c r="Z623" s="2">
        <v>14</v>
      </c>
      <c r="AA623" s="2">
        <v>6</v>
      </c>
      <c r="AB623" s="2">
        <v>4</v>
      </c>
      <c r="AC623" s="2">
        <v>1</v>
      </c>
      <c r="AD623" s="2">
        <v>2</v>
      </c>
      <c r="AE623" s="2" t="s">
        <v>0</v>
      </c>
      <c r="AF623" s="2">
        <v>4</v>
      </c>
      <c r="AG623" s="2" t="s">
        <v>2523</v>
      </c>
    </row>
    <row r="624" spans="1:33" ht="127.5" x14ac:dyDescent="0.2">
      <c r="A624" s="5" t="str">
        <f>HYPERLINK("http://www.patentics.cn/invokexml.do?sf=ShowPatent&amp;spn=US9107186&amp;sv=8a78b379fb9099be6d98bd98f59764af","US9107186")</f>
        <v>US9107186</v>
      </c>
      <c r="B624" s="3" t="s">
        <v>2749</v>
      </c>
      <c r="C624" s="3" t="s">
        <v>2750</v>
      </c>
      <c r="D624" s="3" t="s">
        <v>52</v>
      </c>
      <c r="E624" s="3" t="s">
        <v>52</v>
      </c>
      <c r="F624" s="3" t="s">
        <v>2751</v>
      </c>
      <c r="G624" s="3" t="s">
        <v>2752</v>
      </c>
      <c r="H624" s="3" t="s">
        <v>891</v>
      </c>
      <c r="I624" s="3" t="s">
        <v>2753</v>
      </c>
      <c r="J624" s="3" t="s">
        <v>927</v>
      </c>
      <c r="K624" s="3" t="s">
        <v>82</v>
      </c>
      <c r="L624" s="3" t="s">
        <v>226</v>
      </c>
      <c r="M624" s="3" t="s">
        <v>0</v>
      </c>
      <c r="N624" s="3" t="s">
        <v>0</v>
      </c>
      <c r="O624" s="3">
        <v>0</v>
      </c>
      <c r="P624" s="3">
        <v>19</v>
      </c>
      <c r="Q624" s="3" t="s">
        <v>60</v>
      </c>
      <c r="R624" s="3" t="s">
        <v>61</v>
      </c>
      <c r="S624" s="3">
        <v>38</v>
      </c>
      <c r="T624" s="3">
        <v>7</v>
      </c>
      <c r="U624" s="3">
        <v>31</v>
      </c>
      <c r="V624" s="3">
        <v>18</v>
      </c>
      <c r="W624" s="3">
        <v>0</v>
      </c>
      <c r="X624" s="3" t="s">
        <v>147</v>
      </c>
      <c r="Y624" s="3">
        <v>0</v>
      </c>
      <c r="Z624" s="3">
        <v>0</v>
      </c>
      <c r="AA624" s="3">
        <v>0</v>
      </c>
      <c r="AB624" s="3">
        <v>0</v>
      </c>
      <c r="AC624" s="3">
        <v>8</v>
      </c>
      <c r="AD624" s="3">
        <v>6</v>
      </c>
      <c r="AE624" s="3">
        <v>14</v>
      </c>
      <c r="AF624" s="3" t="s">
        <v>0</v>
      </c>
      <c r="AG624" s="3" t="s">
        <v>49</v>
      </c>
    </row>
    <row r="625" spans="1:33" ht="89.25" x14ac:dyDescent="0.2">
      <c r="A625" s="5" t="str">
        <f>HYPERLINK("http://www.patentics.cn/invokexml.do?sf=ShowPatent&amp;spn=US9160592&amp;sv=427b99375643120d52ab55918d773190","US9160592")</f>
        <v>US9160592</v>
      </c>
      <c r="B625" s="3" t="s">
        <v>2754</v>
      </c>
      <c r="C625" s="3" t="s">
        <v>2755</v>
      </c>
      <c r="D625" s="3" t="s">
        <v>52</v>
      </c>
      <c r="E625" s="3" t="s">
        <v>52</v>
      </c>
      <c r="F625" s="3" t="s">
        <v>2756</v>
      </c>
      <c r="G625" s="3" t="s">
        <v>2752</v>
      </c>
      <c r="H625" s="3" t="s">
        <v>891</v>
      </c>
      <c r="I625" s="3" t="s">
        <v>1235</v>
      </c>
      <c r="J625" s="3" t="s">
        <v>830</v>
      </c>
      <c r="K625" s="3" t="s">
        <v>1246</v>
      </c>
      <c r="L625" s="3" t="s">
        <v>1247</v>
      </c>
      <c r="M625" s="3" t="s">
        <v>58</v>
      </c>
      <c r="N625" s="3" t="s">
        <v>2466</v>
      </c>
      <c r="O625" s="3">
        <v>0</v>
      </c>
      <c r="P625" s="3">
        <v>26</v>
      </c>
      <c r="Q625" s="3" t="s">
        <v>60</v>
      </c>
      <c r="R625" s="3" t="s">
        <v>61</v>
      </c>
      <c r="S625" s="3">
        <v>40</v>
      </c>
      <c r="T625" s="3">
        <v>8</v>
      </c>
      <c r="U625" s="3">
        <v>32</v>
      </c>
      <c r="V625" s="3">
        <v>19</v>
      </c>
      <c r="W625" s="3">
        <v>0</v>
      </c>
      <c r="X625" s="3" t="s">
        <v>147</v>
      </c>
      <c r="Y625" s="3">
        <v>0</v>
      </c>
      <c r="Z625" s="3">
        <v>0</v>
      </c>
      <c r="AA625" s="3">
        <v>0</v>
      </c>
      <c r="AB625" s="3">
        <v>0</v>
      </c>
      <c r="AC625" s="3">
        <v>7</v>
      </c>
      <c r="AD625" s="3">
        <v>6</v>
      </c>
      <c r="AE625" s="3">
        <v>14</v>
      </c>
      <c r="AF625" s="3" t="s">
        <v>0</v>
      </c>
      <c r="AG625" s="3" t="s">
        <v>49</v>
      </c>
    </row>
    <row r="626" spans="1:33" ht="63.75" x14ac:dyDescent="0.2">
      <c r="A626" s="5" t="str">
        <f>HYPERLINK("http://www.patentics.cn/invokexml.do?sf=ShowPatent&amp;spn=WO2012116109&amp;sv=bef72d6cd360397658739bce49f76949","WO2012116109")</f>
        <v>WO2012116109</v>
      </c>
      <c r="B626" s="3" t="s">
        <v>2757</v>
      </c>
      <c r="C626" s="3" t="s">
        <v>2755</v>
      </c>
      <c r="D626" s="3" t="s">
        <v>2758</v>
      </c>
      <c r="E626" s="3" t="s">
        <v>2759</v>
      </c>
      <c r="F626" s="3" t="s">
        <v>2760</v>
      </c>
      <c r="G626" s="3" t="s">
        <v>2761</v>
      </c>
      <c r="H626" s="3" t="s">
        <v>891</v>
      </c>
      <c r="I626" s="3" t="s">
        <v>2753</v>
      </c>
      <c r="J626" s="3" t="s">
        <v>2762</v>
      </c>
      <c r="K626" s="3" t="s">
        <v>58</v>
      </c>
      <c r="L626" s="3" t="s">
        <v>188</v>
      </c>
      <c r="M626" s="3" t="s">
        <v>0</v>
      </c>
      <c r="N626" s="3" t="s">
        <v>0</v>
      </c>
      <c r="O626" s="3">
        <v>65</v>
      </c>
      <c r="P626" s="3">
        <v>19</v>
      </c>
      <c r="Q626" s="3" t="s">
        <v>352</v>
      </c>
      <c r="R626" s="3" t="s">
        <v>61</v>
      </c>
      <c r="S626" s="3">
        <v>7</v>
      </c>
      <c r="T626" s="3">
        <v>1</v>
      </c>
      <c r="U626" s="3">
        <v>6</v>
      </c>
      <c r="V626" s="3">
        <v>6</v>
      </c>
      <c r="W626" s="3">
        <v>0</v>
      </c>
      <c r="X626" s="3" t="s">
        <v>147</v>
      </c>
      <c r="Y626" s="3">
        <v>0</v>
      </c>
      <c r="Z626" s="3">
        <v>0</v>
      </c>
      <c r="AA626" s="3">
        <v>0</v>
      </c>
      <c r="AB626" s="3">
        <v>0</v>
      </c>
      <c r="AC626" s="3">
        <v>7</v>
      </c>
      <c r="AD626" s="3">
        <v>6</v>
      </c>
      <c r="AE626" s="3">
        <v>14</v>
      </c>
      <c r="AF626" s="3" t="s">
        <v>0</v>
      </c>
      <c r="AG626" s="3" t="s">
        <v>0</v>
      </c>
    </row>
    <row r="627" spans="1:33" ht="89.25" x14ac:dyDescent="0.2">
      <c r="A627" s="5" t="str">
        <f>HYPERLINK("http://www.patentics.cn/invokexml.do?sf=ShowPatent&amp;spn=WO2012116109A3&amp;sv=33913db79da6c6ce2c741f0ca2e8bd8b","WO2012116109A3")</f>
        <v>WO2012116109A3</v>
      </c>
      <c r="B627" s="3" t="s">
        <v>2763</v>
      </c>
      <c r="C627" s="3" t="s">
        <v>2764</v>
      </c>
      <c r="D627" s="3" t="s">
        <v>2765</v>
      </c>
      <c r="E627" s="3" t="s">
        <v>2765</v>
      </c>
      <c r="F627" s="3" t="s">
        <v>2766</v>
      </c>
      <c r="G627" s="3" t="s">
        <v>2767</v>
      </c>
      <c r="H627" s="3" t="s">
        <v>891</v>
      </c>
      <c r="I627" s="3" t="s">
        <v>891</v>
      </c>
      <c r="J627" s="3" t="s">
        <v>1412</v>
      </c>
      <c r="K627" s="3" t="s">
        <v>58</v>
      </c>
      <c r="L627" s="3" t="s">
        <v>188</v>
      </c>
      <c r="M627" s="3" t="s">
        <v>58</v>
      </c>
      <c r="N627" s="3" t="s">
        <v>58</v>
      </c>
      <c r="O627" s="3">
        <v>0</v>
      </c>
      <c r="P627" s="3">
        <v>0</v>
      </c>
      <c r="Q627" s="3" t="s">
        <v>352</v>
      </c>
      <c r="R627" s="3" t="s">
        <v>1387</v>
      </c>
      <c r="S627" s="3">
        <v>7</v>
      </c>
      <c r="T627" s="3">
        <v>1</v>
      </c>
      <c r="U627" s="3">
        <v>6</v>
      </c>
      <c r="V627" s="3">
        <v>6</v>
      </c>
      <c r="W627" s="3">
        <v>0</v>
      </c>
      <c r="X627" s="3" t="s">
        <v>147</v>
      </c>
      <c r="Y627" s="3">
        <v>0</v>
      </c>
      <c r="Z627" s="3">
        <v>0</v>
      </c>
      <c r="AA627" s="3">
        <v>0</v>
      </c>
      <c r="AB627" s="3">
        <v>0</v>
      </c>
      <c r="AC627" s="3">
        <v>0</v>
      </c>
      <c r="AD627" s="3">
        <v>0</v>
      </c>
      <c r="AE627" s="3">
        <v>14</v>
      </c>
      <c r="AF627" s="3" t="s">
        <v>0</v>
      </c>
      <c r="AG627" s="3" t="s">
        <v>0</v>
      </c>
    </row>
    <row r="628" spans="1:33" ht="25.5" x14ac:dyDescent="0.2">
      <c r="A628" s="4" t="str">
        <f>HYPERLINK("http://www.patentics.cn/invokexml.do?sf=ShowPatent&amp;spn=CN101340622&amp;sv=e859ad0ddf8582bd904c4bc29128605c","CN101340622")</f>
        <v>CN101340622</v>
      </c>
      <c r="B628" s="2" t="s">
        <v>2889</v>
      </c>
      <c r="C628" s="2" t="s">
        <v>2890</v>
      </c>
      <c r="D628" s="2" t="s">
        <v>38</v>
      </c>
      <c r="E628" s="2" t="s">
        <v>38</v>
      </c>
      <c r="F628" s="2" t="s">
        <v>2891</v>
      </c>
      <c r="G628" s="2" t="s">
        <v>2892</v>
      </c>
      <c r="H628" s="2" t="s">
        <v>1920</v>
      </c>
      <c r="I628" s="2" t="s">
        <v>1920</v>
      </c>
      <c r="J628" s="2" t="s">
        <v>2492</v>
      </c>
      <c r="K628" s="2" t="s">
        <v>43</v>
      </c>
      <c r="L628" s="2" t="s">
        <v>1588</v>
      </c>
      <c r="M628" s="2" t="s">
        <v>0</v>
      </c>
      <c r="N628" s="2" t="s">
        <v>0</v>
      </c>
      <c r="O628" s="2">
        <v>9</v>
      </c>
      <c r="P628" s="2">
        <v>18</v>
      </c>
      <c r="Q628" s="2" t="s">
        <v>46</v>
      </c>
      <c r="R628" s="2" t="s">
        <v>47</v>
      </c>
      <c r="S628" s="2">
        <v>0</v>
      </c>
      <c r="T628" s="2">
        <v>0</v>
      </c>
      <c r="U628" s="2">
        <v>0</v>
      </c>
      <c r="V628" s="2">
        <v>0</v>
      </c>
      <c r="W628" s="2">
        <v>46</v>
      </c>
      <c r="X628" s="2" t="s">
        <v>2893</v>
      </c>
      <c r="Y628" s="2">
        <v>10</v>
      </c>
      <c r="Z628" s="2">
        <v>36</v>
      </c>
      <c r="AA628" s="2">
        <v>11</v>
      </c>
      <c r="AB628" s="2">
        <v>4</v>
      </c>
      <c r="AC628" s="2">
        <v>1</v>
      </c>
      <c r="AD628" s="2">
        <v>1</v>
      </c>
      <c r="AE628" s="2" t="s">
        <v>0</v>
      </c>
      <c r="AF628" s="2">
        <v>4</v>
      </c>
      <c r="AG628" s="2" t="s">
        <v>49</v>
      </c>
    </row>
    <row r="629" spans="1:33" ht="89.25" x14ac:dyDescent="0.2">
      <c r="A629" s="5" t="str">
        <f>HYPERLINK("http://www.patentics.cn/invokexml.do?sf=ShowPatent&amp;spn=US8891436&amp;sv=f97afbb8e4803cb860afa47365ed7d57","US8891436")</f>
        <v>US8891436</v>
      </c>
      <c r="B629" s="3" t="s">
        <v>2894</v>
      </c>
      <c r="C629" s="3" t="s">
        <v>2895</v>
      </c>
      <c r="D629" s="3" t="s">
        <v>52</v>
      </c>
      <c r="E629" s="3" t="s">
        <v>52</v>
      </c>
      <c r="F629" s="3" t="s">
        <v>2896</v>
      </c>
      <c r="G629" s="3" t="s">
        <v>2897</v>
      </c>
      <c r="H629" s="3" t="s">
        <v>2898</v>
      </c>
      <c r="I629" s="3" t="s">
        <v>1465</v>
      </c>
      <c r="J629" s="3" t="s">
        <v>1993</v>
      </c>
      <c r="K629" s="3" t="s">
        <v>84</v>
      </c>
      <c r="L629" s="3" t="s">
        <v>114</v>
      </c>
      <c r="M629" s="3" t="s">
        <v>82</v>
      </c>
      <c r="N629" s="3" t="s">
        <v>2899</v>
      </c>
      <c r="O629" s="3">
        <v>0</v>
      </c>
      <c r="P629" s="3">
        <v>11</v>
      </c>
      <c r="Q629" s="3" t="s">
        <v>60</v>
      </c>
      <c r="R629" s="3" t="s">
        <v>47</v>
      </c>
      <c r="S629" s="3">
        <v>10</v>
      </c>
      <c r="T629" s="3">
        <v>2</v>
      </c>
      <c r="U629" s="3">
        <v>8</v>
      </c>
      <c r="V629" s="3">
        <v>6</v>
      </c>
      <c r="W629" s="3">
        <v>1</v>
      </c>
      <c r="X629" s="3" t="s">
        <v>108</v>
      </c>
      <c r="Y629" s="3">
        <v>0</v>
      </c>
      <c r="Z629" s="3">
        <v>1</v>
      </c>
      <c r="AA629" s="3">
        <v>1</v>
      </c>
      <c r="AB629" s="3">
        <v>1</v>
      </c>
      <c r="AC629" s="3">
        <v>3</v>
      </c>
      <c r="AD629" s="3">
        <v>2</v>
      </c>
      <c r="AE629" s="3">
        <v>14</v>
      </c>
      <c r="AF629" s="3" t="s">
        <v>0</v>
      </c>
      <c r="AG629" s="3" t="s">
        <v>49</v>
      </c>
    </row>
    <row r="630" spans="1:33" ht="63.75" x14ac:dyDescent="0.2">
      <c r="A630" s="5" t="str">
        <f>HYPERLINK("http://www.patentics.cn/invokexml.do?sf=ShowPatent&amp;spn=WO2011143826&amp;sv=851104bf17bf450aa2d07e22e1973435","WO2011143826")</f>
        <v>WO2011143826</v>
      </c>
      <c r="B630" s="3" t="s">
        <v>2900</v>
      </c>
      <c r="C630" s="3" t="s">
        <v>2895</v>
      </c>
      <c r="D630" s="3" t="s">
        <v>2901</v>
      </c>
      <c r="E630" s="3" t="s">
        <v>2902</v>
      </c>
      <c r="F630" s="3" t="s">
        <v>2903</v>
      </c>
      <c r="G630" s="3" t="s">
        <v>2904</v>
      </c>
      <c r="H630" s="3" t="s">
        <v>2898</v>
      </c>
      <c r="I630" s="3" t="s">
        <v>2898</v>
      </c>
      <c r="J630" s="3" t="s">
        <v>2905</v>
      </c>
      <c r="K630" s="3" t="s">
        <v>82</v>
      </c>
      <c r="L630" s="3" t="s">
        <v>2297</v>
      </c>
      <c r="M630" s="3" t="s">
        <v>0</v>
      </c>
      <c r="N630" s="3" t="s">
        <v>0</v>
      </c>
      <c r="O630" s="3">
        <v>32</v>
      </c>
      <c r="P630" s="3">
        <v>10</v>
      </c>
      <c r="Q630" s="3" t="s">
        <v>352</v>
      </c>
      <c r="R630" s="3" t="s">
        <v>47</v>
      </c>
      <c r="S630" s="3">
        <v>4</v>
      </c>
      <c r="T630" s="3">
        <v>0</v>
      </c>
      <c r="U630" s="3">
        <v>4</v>
      </c>
      <c r="V630" s="3">
        <v>2</v>
      </c>
      <c r="W630" s="3">
        <v>3</v>
      </c>
      <c r="X630" s="3" t="s">
        <v>2906</v>
      </c>
      <c r="Y630" s="3">
        <v>1</v>
      </c>
      <c r="Z630" s="3">
        <v>2</v>
      </c>
      <c r="AA630" s="3">
        <v>2</v>
      </c>
      <c r="AB630" s="3">
        <v>2</v>
      </c>
      <c r="AC630" s="3">
        <v>3</v>
      </c>
      <c r="AD630" s="3">
        <v>2</v>
      </c>
      <c r="AE630" s="3">
        <v>14</v>
      </c>
      <c r="AF630" s="3" t="s">
        <v>0</v>
      </c>
      <c r="AG630" s="3" t="s">
        <v>0</v>
      </c>
    </row>
    <row r="631" spans="1:33" ht="63.75" x14ac:dyDescent="0.2">
      <c r="A631" s="5" t="str">
        <f>HYPERLINK("http://www.patentics.cn/invokexml.do?sf=ShowPatent&amp;spn=WO2011143890&amp;sv=0f276de47d9ed99cbd559bf73a3c5119","WO2011143890")</f>
        <v>WO2011143890</v>
      </c>
      <c r="B631" s="3" t="s">
        <v>2907</v>
      </c>
      <c r="C631" s="3" t="s">
        <v>2895</v>
      </c>
      <c r="D631" s="3" t="s">
        <v>2901</v>
      </c>
      <c r="E631" s="3" t="s">
        <v>2902</v>
      </c>
      <c r="F631" s="3" t="s">
        <v>2903</v>
      </c>
      <c r="G631" s="3" t="s">
        <v>2904</v>
      </c>
      <c r="H631" s="3" t="s">
        <v>2898</v>
      </c>
      <c r="I631" s="3" t="s">
        <v>1465</v>
      </c>
      <c r="J631" s="3" t="s">
        <v>2905</v>
      </c>
      <c r="K631" s="3" t="s">
        <v>82</v>
      </c>
      <c r="L631" s="3" t="s">
        <v>2908</v>
      </c>
      <c r="M631" s="3" t="s">
        <v>0</v>
      </c>
      <c r="N631" s="3" t="s">
        <v>0</v>
      </c>
      <c r="O631" s="3">
        <v>32</v>
      </c>
      <c r="P631" s="3">
        <v>10</v>
      </c>
      <c r="Q631" s="3" t="s">
        <v>352</v>
      </c>
      <c r="R631" s="3" t="s">
        <v>47</v>
      </c>
      <c r="S631" s="3">
        <v>4</v>
      </c>
      <c r="T631" s="3">
        <v>1</v>
      </c>
      <c r="U631" s="3">
        <v>3</v>
      </c>
      <c r="V631" s="3">
        <v>3</v>
      </c>
      <c r="W631" s="3">
        <v>0</v>
      </c>
      <c r="X631" s="3" t="s">
        <v>147</v>
      </c>
      <c r="Y631" s="3">
        <v>0</v>
      </c>
      <c r="Z631" s="3">
        <v>0</v>
      </c>
      <c r="AA631" s="3">
        <v>0</v>
      </c>
      <c r="AB631" s="3">
        <v>0</v>
      </c>
      <c r="AC631" s="3">
        <v>3</v>
      </c>
      <c r="AD631" s="3">
        <v>2</v>
      </c>
      <c r="AE631" s="3">
        <v>14</v>
      </c>
      <c r="AF631" s="3" t="s">
        <v>0</v>
      </c>
      <c r="AG631" s="3" t="s">
        <v>0</v>
      </c>
    </row>
    <row r="632" spans="1:33" ht="63.75" x14ac:dyDescent="0.2">
      <c r="A632" s="5" t="str">
        <f>HYPERLINK("http://www.patentics.cn/invokexml.do?sf=ShowPatent&amp;spn=WO2012071726&amp;sv=d1ddeb0d10a29156b55c977101fa7749","WO2012071726")</f>
        <v>WO2012071726</v>
      </c>
      <c r="B632" s="3" t="s">
        <v>2909</v>
      </c>
      <c r="C632" s="3" t="s">
        <v>2910</v>
      </c>
      <c r="D632" s="3" t="s">
        <v>2911</v>
      </c>
      <c r="E632" s="3" t="s">
        <v>2912</v>
      </c>
      <c r="F632" s="3" t="s">
        <v>2913</v>
      </c>
      <c r="G632" s="3" t="s">
        <v>2904</v>
      </c>
      <c r="H632" s="3" t="s">
        <v>2914</v>
      </c>
      <c r="I632" s="3" t="s">
        <v>2914</v>
      </c>
      <c r="J632" s="3" t="s">
        <v>2915</v>
      </c>
      <c r="K632" s="3" t="s">
        <v>82</v>
      </c>
      <c r="L632" s="3" t="s">
        <v>2712</v>
      </c>
      <c r="M632" s="3" t="s">
        <v>0</v>
      </c>
      <c r="N632" s="3" t="s">
        <v>0</v>
      </c>
      <c r="O632" s="3">
        <v>87</v>
      </c>
      <c r="P632" s="3">
        <v>6</v>
      </c>
      <c r="Q632" s="3" t="s">
        <v>352</v>
      </c>
      <c r="R632" s="3" t="s">
        <v>47</v>
      </c>
      <c r="S632" s="3">
        <v>2</v>
      </c>
      <c r="T632" s="3">
        <v>0</v>
      </c>
      <c r="U632" s="3">
        <v>2</v>
      </c>
      <c r="V632" s="3">
        <v>1</v>
      </c>
      <c r="W632" s="3">
        <v>3</v>
      </c>
      <c r="X632" s="3" t="s">
        <v>2120</v>
      </c>
      <c r="Y632" s="3">
        <v>3</v>
      </c>
      <c r="Z632" s="3">
        <v>0</v>
      </c>
      <c r="AA632" s="3">
        <v>1</v>
      </c>
      <c r="AB632" s="3">
        <v>2</v>
      </c>
      <c r="AC632" s="3">
        <v>2</v>
      </c>
      <c r="AD632" s="3">
        <v>3</v>
      </c>
      <c r="AE632" s="3">
        <v>14</v>
      </c>
      <c r="AF632" s="3" t="s">
        <v>0</v>
      </c>
      <c r="AG632" s="3" t="s">
        <v>0</v>
      </c>
    </row>
    <row r="633" spans="1:33" ht="25.5" x14ac:dyDescent="0.2">
      <c r="A633" s="4" t="str">
        <f>HYPERLINK("http://www.patentics.cn/invokexml.do?sf=ShowPatent&amp;spn=CN101232736&amp;sv=780311ca2275787554941089bb039edf","CN101232736")</f>
        <v>CN101232736</v>
      </c>
      <c r="B633" s="2" t="s">
        <v>2916</v>
      </c>
      <c r="C633" s="2" t="s">
        <v>2917</v>
      </c>
      <c r="D633" s="2" t="s">
        <v>38</v>
      </c>
      <c r="E633" s="2" t="s">
        <v>38</v>
      </c>
      <c r="F633" s="2" t="s">
        <v>2918</v>
      </c>
      <c r="G633" s="2" t="s">
        <v>2919</v>
      </c>
      <c r="H633" s="2" t="s">
        <v>2920</v>
      </c>
      <c r="I633" s="2" t="s">
        <v>2920</v>
      </c>
      <c r="J633" s="2" t="s">
        <v>1979</v>
      </c>
      <c r="K633" s="2" t="s">
        <v>43</v>
      </c>
      <c r="L633" s="2" t="s">
        <v>2591</v>
      </c>
      <c r="M633" s="2" t="s">
        <v>58</v>
      </c>
      <c r="N633" s="2" t="s">
        <v>1785</v>
      </c>
      <c r="O633" s="2">
        <v>10</v>
      </c>
      <c r="P633" s="2">
        <v>28</v>
      </c>
      <c r="Q633" s="2" t="s">
        <v>46</v>
      </c>
      <c r="R633" s="2" t="s">
        <v>47</v>
      </c>
      <c r="S633" s="2">
        <v>0</v>
      </c>
      <c r="T633" s="2">
        <v>0</v>
      </c>
      <c r="U633" s="2">
        <v>0</v>
      </c>
      <c r="V633" s="2">
        <v>0</v>
      </c>
      <c r="W633" s="2">
        <v>12</v>
      </c>
      <c r="X633" s="2" t="s">
        <v>2921</v>
      </c>
      <c r="Y633" s="2">
        <v>2</v>
      </c>
      <c r="Z633" s="2">
        <v>10</v>
      </c>
      <c r="AA633" s="2">
        <v>4</v>
      </c>
      <c r="AB633" s="2">
        <v>3</v>
      </c>
      <c r="AC633" s="2">
        <v>1</v>
      </c>
      <c r="AD633" s="2">
        <v>1</v>
      </c>
      <c r="AE633" s="2" t="s">
        <v>0</v>
      </c>
      <c r="AF633" s="2">
        <v>4</v>
      </c>
      <c r="AG633" s="2" t="s">
        <v>49</v>
      </c>
    </row>
    <row r="634" spans="1:33" ht="63.75" x14ac:dyDescent="0.2">
      <c r="A634" s="5" t="str">
        <f>HYPERLINK("http://www.patentics.cn/invokexml.do?sf=ShowPatent&amp;spn=US9084110&amp;sv=d6c80dfc5d99d9511cd838fc0e8ae675","US9084110")</f>
        <v>US9084110</v>
      </c>
      <c r="B634" s="3" t="s">
        <v>2922</v>
      </c>
      <c r="C634" s="3" t="s">
        <v>2923</v>
      </c>
      <c r="D634" s="3" t="s">
        <v>52</v>
      </c>
      <c r="E634" s="3" t="s">
        <v>52</v>
      </c>
      <c r="F634" s="3" t="s">
        <v>2443</v>
      </c>
      <c r="G634" s="3" t="s">
        <v>2444</v>
      </c>
      <c r="H634" s="3" t="s">
        <v>2924</v>
      </c>
      <c r="I634" s="3" t="s">
        <v>2925</v>
      </c>
      <c r="J634" s="3" t="s">
        <v>2926</v>
      </c>
      <c r="K634" s="3" t="s">
        <v>82</v>
      </c>
      <c r="L634" s="3" t="s">
        <v>2417</v>
      </c>
      <c r="M634" s="3" t="s">
        <v>0</v>
      </c>
      <c r="N634" s="3" t="s">
        <v>0</v>
      </c>
      <c r="O634" s="3">
        <v>0</v>
      </c>
      <c r="P634" s="3">
        <v>13</v>
      </c>
      <c r="Q634" s="3" t="s">
        <v>60</v>
      </c>
      <c r="R634" s="3" t="s">
        <v>61</v>
      </c>
      <c r="S634" s="3">
        <v>49</v>
      </c>
      <c r="T634" s="3">
        <v>8</v>
      </c>
      <c r="U634" s="3">
        <v>41</v>
      </c>
      <c r="V634" s="3">
        <v>17</v>
      </c>
      <c r="W634" s="3">
        <v>0</v>
      </c>
      <c r="X634" s="3" t="s">
        <v>147</v>
      </c>
      <c r="Y634" s="3">
        <v>0</v>
      </c>
      <c r="Z634" s="3">
        <v>0</v>
      </c>
      <c r="AA634" s="3">
        <v>0</v>
      </c>
      <c r="AB634" s="3">
        <v>0</v>
      </c>
      <c r="AC634" s="3">
        <v>18</v>
      </c>
      <c r="AD634" s="3">
        <v>12</v>
      </c>
      <c r="AE634" s="3">
        <v>14</v>
      </c>
      <c r="AF634" s="3" t="s">
        <v>0</v>
      </c>
      <c r="AG634" s="3" t="s">
        <v>49</v>
      </c>
    </row>
    <row r="635" spans="1:33" ht="63.75" x14ac:dyDescent="0.2">
      <c r="A635" s="5" t="str">
        <f>HYPERLINK("http://www.patentics.cn/invokexml.do?sf=ShowPatent&amp;spn=US9191812&amp;sv=a90201330e9a9d7091d70d19ba13ec6b","US9191812")</f>
        <v>US9191812</v>
      </c>
      <c r="B635" s="3" t="s">
        <v>2927</v>
      </c>
      <c r="C635" s="3" t="s">
        <v>2928</v>
      </c>
      <c r="D635" s="3" t="s">
        <v>52</v>
      </c>
      <c r="E635" s="3" t="s">
        <v>52</v>
      </c>
      <c r="F635" s="3" t="s">
        <v>2929</v>
      </c>
      <c r="G635" s="3" t="s">
        <v>2930</v>
      </c>
      <c r="H635" s="3" t="s">
        <v>2931</v>
      </c>
      <c r="I635" s="3" t="s">
        <v>1087</v>
      </c>
      <c r="J635" s="3" t="s">
        <v>612</v>
      </c>
      <c r="K635" s="3" t="s">
        <v>58</v>
      </c>
      <c r="L635" s="3" t="s">
        <v>722</v>
      </c>
      <c r="M635" s="3" t="s">
        <v>82</v>
      </c>
      <c r="N635" s="3" t="s">
        <v>1291</v>
      </c>
      <c r="O635" s="3">
        <v>0</v>
      </c>
      <c r="P635" s="3">
        <v>12</v>
      </c>
      <c r="Q635" s="3" t="s">
        <v>60</v>
      </c>
      <c r="R635" s="3" t="s">
        <v>61</v>
      </c>
      <c r="S635" s="3">
        <v>50</v>
      </c>
      <c r="T635" s="3">
        <v>10</v>
      </c>
      <c r="U635" s="3">
        <v>40</v>
      </c>
      <c r="V635" s="3">
        <v>17</v>
      </c>
      <c r="W635" s="3">
        <v>0</v>
      </c>
      <c r="X635" s="3" t="s">
        <v>147</v>
      </c>
      <c r="Y635" s="3">
        <v>0</v>
      </c>
      <c r="Z635" s="3">
        <v>0</v>
      </c>
      <c r="AA635" s="3">
        <v>0</v>
      </c>
      <c r="AB635" s="3">
        <v>0</v>
      </c>
      <c r="AC635" s="3">
        <v>25</v>
      </c>
      <c r="AD635" s="3">
        <v>13</v>
      </c>
      <c r="AE635" s="3">
        <v>14</v>
      </c>
      <c r="AF635" s="3" t="s">
        <v>0</v>
      </c>
      <c r="AG635" s="3" t="s">
        <v>49</v>
      </c>
    </row>
    <row r="636" spans="1:33" ht="63.75" x14ac:dyDescent="0.2">
      <c r="A636" s="5" t="str">
        <f>HYPERLINK("http://www.patentics.cn/invokexml.do?sf=ShowPatent&amp;spn=US9197669&amp;sv=b25e02a7d821405e016d268ecde1b94f","US9197669")</f>
        <v>US9197669</v>
      </c>
      <c r="B636" s="3" t="s">
        <v>2932</v>
      </c>
      <c r="C636" s="3" t="s">
        <v>2933</v>
      </c>
      <c r="D636" s="3" t="s">
        <v>52</v>
      </c>
      <c r="E636" s="3" t="s">
        <v>52</v>
      </c>
      <c r="F636" s="3" t="s">
        <v>2443</v>
      </c>
      <c r="G636" s="3" t="s">
        <v>2444</v>
      </c>
      <c r="H636" s="3" t="s">
        <v>2934</v>
      </c>
      <c r="I636" s="3" t="s">
        <v>1145</v>
      </c>
      <c r="J636" s="3" t="s">
        <v>1856</v>
      </c>
      <c r="K636" s="3" t="s">
        <v>58</v>
      </c>
      <c r="L636" s="3" t="s">
        <v>722</v>
      </c>
      <c r="M636" s="3" t="s">
        <v>58</v>
      </c>
      <c r="N636" s="3" t="s">
        <v>2935</v>
      </c>
      <c r="O636" s="3">
        <v>0</v>
      </c>
      <c r="P636" s="3">
        <v>16</v>
      </c>
      <c r="Q636" s="3" t="s">
        <v>60</v>
      </c>
      <c r="R636" s="3" t="s">
        <v>61</v>
      </c>
      <c r="S636" s="3">
        <v>50</v>
      </c>
      <c r="T636" s="3">
        <v>9</v>
      </c>
      <c r="U636" s="3">
        <v>41</v>
      </c>
      <c r="V636" s="3">
        <v>17</v>
      </c>
      <c r="W636" s="3">
        <v>0</v>
      </c>
      <c r="X636" s="3" t="s">
        <v>147</v>
      </c>
      <c r="Y636" s="3">
        <v>0</v>
      </c>
      <c r="Z636" s="3">
        <v>0</v>
      </c>
      <c r="AA636" s="3">
        <v>0</v>
      </c>
      <c r="AB636" s="3">
        <v>0</v>
      </c>
      <c r="AC636" s="3">
        <v>30</v>
      </c>
      <c r="AD636" s="3">
        <v>15</v>
      </c>
      <c r="AE636" s="3">
        <v>14</v>
      </c>
      <c r="AF636" s="3" t="s">
        <v>0</v>
      </c>
      <c r="AG636" s="3" t="s">
        <v>49</v>
      </c>
    </row>
    <row r="637" spans="1:33" ht="38.25" x14ac:dyDescent="0.2">
      <c r="A637" s="5" t="str">
        <f>HYPERLINK("http://www.patentics.cn/invokexml.do?sf=ShowPatent&amp;spn=CN102835136B&amp;sv=a97e1556496f10e16327ad7acbbe2a7f","CN102835136B")</f>
        <v>CN102835136B</v>
      </c>
      <c r="B637" s="3" t="s">
        <v>2936</v>
      </c>
      <c r="C637" s="3" t="s">
        <v>2937</v>
      </c>
      <c r="D637" s="3" t="s">
        <v>338</v>
      </c>
      <c r="E637" s="3" t="s">
        <v>338</v>
      </c>
      <c r="F637" s="3" t="s">
        <v>2938</v>
      </c>
      <c r="G637" s="3" t="s">
        <v>2939</v>
      </c>
      <c r="H637" s="3" t="s">
        <v>2934</v>
      </c>
      <c r="I637" s="3" t="s">
        <v>1044</v>
      </c>
      <c r="J637" s="3" t="s">
        <v>2940</v>
      </c>
      <c r="K637" s="3" t="s">
        <v>82</v>
      </c>
      <c r="L637" s="3" t="s">
        <v>2417</v>
      </c>
      <c r="M637" s="3" t="s">
        <v>0</v>
      </c>
      <c r="N637" s="3" t="s">
        <v>0</v>
      </c>
      <c r="O637" s="3">
        <v>14</v>
      </c>
      <c r="P637" s="3">
        <v>21</v>
      </c>
      <c r="Q637" s="3" t="s">
        <v>60</v>
      </c>
      <c r="R637" s="3" t="s">
        <v>61</v>
      </c>
      <c r="S637" s="3">
        <v>6</v>
      </c>
      <c r="T637" s="3">
        <v>1</v>
      </c>
      <c r="U637" s="3">
        <v>5</v>
      </c>
      <c r="V637" s="3">
        <v>6</v>
      </c>
      <c r="W637" s="3">
        <v>0</v>
      </c>
      <c r="X637" s="3" t="s">
        <v>147</v>
      </c>
      <c r="Y637" s="3">
        <v>0</v>
      </c>
      <c r="Z637" s="3">
        <v>0</v>
      </c>
      <c r="AA637" s="3">
        <v>0</v>
      </c>
      <c r="AB637" s="3">
        <v>0</v>
      </c>
      <c r="AC637" s="3">
        <v>0</v>
      </c>
      <c r="AD637" s="3">
        <v>0</v>
      </c>
      <c r="AE637" s="3">
        <v>14</v>
      </c>
      <c r="AF637" s="3" t="s">
        <v>0</v>
      </c>
      <c r="AG637" s="3" t="s">
        <v>49</v>
      </c>
    </row>
    <row r="638" spans="1:33" ht="38.25" x14ac:dyDescent="0.2">
      <c r="A638" s="4" t="str">
        <f>HYPERLINK("http://www.patentics.cn/invokexml.do?sf=ShowPatent&amp;spn=CN101232481&amp;sv=59e67e2783b6ffa6fff90ca60edd85ce","CN101232481")</f>
        <v>CN101232481</v>
      </c>
      <c r="B638" s="2" t="s">
        <v>2941</v>
      </c>
      <c r="C638" s="2" t="s">
        <v>2942</v>
      </c>
      <c r="D638" s="2" t="s">
        <v>38</v>
      </c>
      <c r="E638" s="2" t="s">
        <v>38</v>
      </c>
      <c r="F638" s="2" t="s">
        <v>2943</v>
      </c>
      <c r="G638" s="2" t="s">
        <v>1297</v>
      </c>
      <c r="H638" s="2" t="s">
        <v>2944</v>
      </c>
      <c r="I638" s="2" t="s">
        <v>2944</v>
      </c>
      <c r="J638" s="2" t="s">
        <v>1979</v>
      </c>
      <c r="K638" s="2" t="s">
        <v>58</v>
      </c>
      <c r="L638" s="2" t="s">
        <v>326</v>
      </c>
      <c r="M638" s="2" t="s">
        <v>84</v>
      </c>
      <c r="N638" s="2" t="s">
        <v>2183</v>
      </c>
      <c r="O638" s="2">
        <v>11</v>
      </c>
      <c r="P638" s="2">
        <v>8</v>
      </c>
      <c r="Q638" s="2" t="s">
        <v>46</v>
      </c>
      <c r="R638" s="2" t="s">
        <v>47</v>
      </c>
      <c r="S638" s="2">
        <v>0</v>
      </c>
      <c r="T638" s="2">
        <v>0</v>
      </c>
      <c r="U638" s="2">
        <v>0</v>
      </c>
      <c r="V638" s="2">
        <v>0</v>
      </c>
      <c r="W638" s="2">
        <v>4</v>
      </c>
      <c r="X638" s="2" t="s">
        <v>2945</v>
      </c>
      <c r="Y638" s="2">
        <v>0</v>
      </c>
      <c r="Z638" s="2">
        <v>4</v>
      </c>
      <c r="AA638" s="2">
        <v>1</v>
      </c>
      <c r="AB638" s="2">
        <v>3</v>
      </c>
      <c r="AC638" s="2">
        <v>1</v>
      </c>
      <c r="AD638" s="2">
        <v>1</v>
      </c>
      <c r="AE638" s="2" t="s">
        <v>0</v>
      </c>
      <c r="AF638" s="2">
        <v>4</v>
      </c>
      <c r="AG638" s="2" t="s">
        <v>49</v>
      </c>
    </row>
    <row r="639" spans="1:33" ht="89.25" x14ac:dyDescent="0.2">
      <c r="A639" s="5" t="str">
        <f>HYPERLINK("http://www.patentics.cn/invokexml.do?sf=ShowPatent&amp;spn=US8737911&amp;sv=aca9cb7df32a0dfb60b00b82319e099a","US8737911")</f>
        <v>US8737911</v>
      </c>
      <c r="B639" s="3" t="s">
        <v>2946</v>
      </c>
      <c r="C639" s="3" t="s">
        <v>2947</v>
      </c>
      <c r="D639" s="3" t="s">
        <v>52</v>
      </c>
      <c r="E639" s="3" t="s">
        <v>52</v>
      </c>
      <c r="F639" s="3" t="s">
        <v>2948</v>
      </c>
      <c r="G639" s="3" t="s">
        <v>2949</v>
      </c>
      <c r="H639" s="3" t="s">
        <v>2950</v>
      </c>
      <c r="I639" s="3" t="s">
        <v>2951</v>
      </c>
      <c r="J639" s="3" t="s">
        <v>1987</v>
      </c>
      <c r="K639" s="3" t="s">
        <v>84</v>
      </c>
      <c r="L639" s="3" t="s">
        <v>2952</v>
      </c>
      <c r="M639" s="3" t="s">
        <v>84</v>
      </c>
      <c r="N639" s="3" t="s">
        <v>2953</v>
      </c>
      <c r="O639" s="3">
        <v>0</v>
      </c>
      <c r="P639" s="3">
        <v>26</v>
      </c>
      <c r="Q639" s="3" t="s">
        <v>60</v>
      </c>
      <c r="R639" s="3" t="s">
        <v>61</v>
      </c>
      <c r="S639" s="3">
        <v>69</v>
      </c>
      <c r="T639" s="3">
        <v>14</v>
      </c>
      <c r="U639" s="3">
        <v>55</v>
      </c>
      <c r="V639" s="3">
        <v>30</v>
      </c>
      <c r="W639" s="3">
        <v>0</v>
      </c>
      <c r="X639" s="3" t="s">
        <v>147</v>
      </c>
      <c r="Y639" s="3">
        <v>0</v>
      </c>
      <c r="Z639" s="3">
        <v>0</v>
      </c>
      <c r="AA639" s="3">
        <v>0</v>
      </c>
      <c r="AB639" s="3">
        <v>0</v>
      </c>
      <c r="AC639" s="3">
        <v>50</v>
      </c>
      <c r="AD639" s="3">
        <v>7</v>
      </c>
      <c r="AE639" s="3">
        <v>14</v>
      </c>
      <c r="AF639" s="3" t="s">
        <v>0</v>
      </c>
      <c r="AG639" s="3" t="s">
        <v>49</v>
      </c>
    </row>
    <row r="640" spans="1:33" ht="153" x14ac:dyDescent="0.2">
      <c r="A640" s="5" t="str">
        <f>HYPERLINK("http://www.patentics.cn/invokexml.do?sf=ShowPatent&amp;spn=US9020009&amp;sv=9c863aeb8f52ca7853e757f3d86c1738","US9020009")</f>
        <v>US9020009</v>
      </c>
      <c r="B640" s="3" t="s">
        <v>2954</v>
      </c>
      <c r="C640" s="3" t="s">
        <v>2955</v>
      </c>
      <c r="D640" s="3" t="s">
        <v>52</v>
      </c>
      <c r="E640" s="3" t="s">
        <v>52</v>
      </c>
      <c r="F640" s="3" t="s">
        <v>2956</v>
      </c>
      <c r="G640" s="3" t="s">
        <v>2957</v>
      </c>
      <c r="H640" s="3" t="s">
        <v>2950</v>
      </c>
      <c r="I640" s="3" t="s">
        <v>2951</v>
      </c>
      <c r="J640" s="3" t="s">
        <v>2958</v>
      </c>
      <c r="K640" s="3" t="s">
        <v>84</v>
      </c>
      <c r="L640" s="3" t="s">
        <v>2952</v>
      </c>
      <c r="M640" s="3" t="s">
        <v>84</v>
      </c>
      <c r="N640" s="3" t="s">
        <v>2953</v>
      </c>
      <c r="O640" s="3">
        <v>0</v>
      </c>
      <c r="P640" s="3">
        <v>23</v>
      </c>
      <c r="Q640" s="3" t="s">
        <v>60</v>
      </c>
      <c r="R640" s="3" t="s">
        <v>61</v>
      </c>
      <c r="S640" s="3">
        <v>71</v>
      </c>
      <c r="T640" s="3">
        <v>14</v>
      </c>
      <c r="U640" s="3">
        <v>57</v>
      </c>
      <c r="V640" s="3">
        <v>31</v>
      </c>
      <c r="W640" s="3">
        <v>1</v>
      </c>
      <c r="X640" s="3" t="s">
        <v>108</v>
      </c>
      <c r="Y640" s="3">
        <v>0</v>
      </c>
      <c r="Z640" s="3">
        <v>1</v>
      </c>
      <c r="AA640" s="3">
        <v>1</v>
      </c>
      <c r="AB640" s="3">
        <v>1</v>
      </c>
      <c r="AC640" s="3">
        <v>50</v>
      </c>
      <c r="AD640" s="3">
        <v>7</v>
      </c>
      <c r="AE640" s="3">
        <v>14</v>
      </c>
      <c r="AF640" s="3" t="s">
        <v>0</v>
      </c>
      <c r="AG640" s="3" t="s">
        <v>49</v>
      </c>
    </row>
    <row r="641" spans="1:33" ht="102" x14ac:dyDescent="0.2">
      <c r="A641" s="5" t="str">
        <f>HYPERLINK("http://www.patentics.cn/invokexml.do?sf=ShowPatent&amp;spn=WO2013013378&amp;sv=d67c26db96d0c5bb2caf1b4bb4d060fe","WO2013013378")</f>
        <v>WO2013013378</v>
      </c>
      <c r="B641" s="3" t="s">
        <v>2959</v>
      </c>
      <c r="C641" s="3" t="s">
        <v>2960</v>
      </c>
      <c r="D641" s="3" t="s">
        <v>2961</v>
      </c>
      <c r="E641" s="3" t="s">
        <v>2962</v>
      </c>
      <c r="F641" s="3" t="s">
        <v>2963</v>
      </c>
      <c r="G641" s="3" t="s">
        <v>2964</v>
      </c>
      <c r="H641" s="3" t="s">
        <v>0</v>
      </c>
      <c r="I641" s="3" t="s">
        <v>2965</v>
      </c>
      <c r="J641" s="3" t="s">
        <v>2126</v>
      </c>
      <c r="K641" s="3" t="s">
        <v>58</v>
      </c>
      <c r="L641" s="3" t="s">
        <v>326</v>
      </c>
      <c r="M641" s="3" t="s">
        <v>0</v>
      </c>
      <c r="N641" s="3" t="s">
        <v>0</v>
      </c>
      <c r="O641" s="3">
        <v>28</v>
      </c>
      <c r="P641" s="3">
        <v>8</v>
      </c>
      <c r="Q641" s="3" t="s">
        <v>352</v>
      </c>
      <c r="R641" s="3" t="s">
        <v>1387</v>
      </c>
      <c r="S641" s="3">
        <v>3</v>
      </c>
      <c r="T641" s="3">
        <v>0</v>
      </c>
      <c r="U641" s="3">
        <v>3</v>
      </c>
      <c r="V641" s="3">
        <v>2</v>
      </c>
      <c r="W641" s="3">
        <v>0</v>
      </c>
      <c r="X641" s="3" t="s">
        <v>147</v>
      </c>
      <c r="Y641" s="3">
        <v>0</v>
      </c>
      <c r="Z641" s="3">
        <v>0</v>
      </c>
      <c r="AA641" s="3">
        <v>0</v>
      </c>
      <c r="AB641" s="3">
        <v>0</v>
      </c>
      <c r="AC641" s="3">
        <v>0</v>
      </c>
      <c r="AD641" s="3">
        <v>0</v>
      </c>
      <c r="AE641" s="3">
        <v>14</v>
      </c>
      <c r="AF641" s="3" t="s">
        <v>0</v>
      </c>
      <c r="AG641" s="3" t="s">
        <v>0</v>
      </c>
    </row>
    <row r="642" spans="1:33" ht="76.5" x14ac:dyDescent="0.2">
      <c r="A642" s="5" t="str">
        <f>HYPERLINK("http://www.patentics.cn/invokexml.do?sf=ShowPatent&amp;spn=CN102422564B&amp;sv=61febb1a742c2d1ce3157250e38d1ef0","CN102422564B")</f>
        <v>CN102422564B</v>
      </c>
      <c r="B642" s="3" t="s">
        <v>2966</v>
      </c>
      <c r="C642" s="3" t="s">
        <v>2967</v>
      </c>
      <c r="D642" s="3" t="s">
        <v>338</v>
      </c>
      <c r="E642" s="3" t="s">
        <v>338</v>
      </c>
      <c r="F642" s="3" t="s">
        <v>2968</v>
      </c>
      <c r="G642" s="3" t="s">
        <v>2969</v>
      </c>
      <c r="H642" s="3" t="s">
        <v>2950</v>
      </c>
      <c r="I642" s="3" t="s">
        <v>2970</v>
      </c>
      <c r="J642" s="3" t="s">
        <v>2971</v>
      </c>
      <c r="K642" s="3" t="s">
        <v>58</v>
      </c>
      <c r="L642" s="3" t="s">
        <v>326</v>
      </c>
      <c r="M642" s="3" t="s">
        <v>0</v>
      </c>
      <c r="N642" s="3" t="s">
        <v>0</v>
      </c>
      <c r="O642" s="3">
        <v>27</v>
      </c>
      <c r="P642" s="3">
        <v>22</v>
      </c>
      <c r="Q642" s="3" t="s">
        <v>60</v>
      </c>
      <c r="R642" s="3" t="s">
        <v>61</v>
      </c>
      <c r="S642" s="3">
        <v>4</v>
      </c>
      <c r="T642" s="3">
        <v>0</v>
      </c>
      <c r="U642" s="3">
        <v>4</v>
      </c>
      <c r="V642" s="3">
        <v>4</v>
      </c>
      <c r="W642" s="3">
        <v>0</v>
      </c>
      <c r="X642" s="3" t="s">
        <v>147</v>
      </c>
      <c r="Y642" s="3">
        <v>0</v>
      </c>
      <c r="Z642" s="3">
        <v>0</v>
      </c>
      <c r="AA642" s="3">
        <v>0</v>
      </c>
      <c r="AB642" s="3">
        <v>0</v>
      </c>
      <c r="AC642" s="3">
        <v>50</v>
      </c>
      <c r="AD642" s="3">
        <v>7</v>
      </c>
      <c r="AE642" s="3">
        <v>14</v>
      </c>
      <c r="AF642" s="3" t="s">
        <v>0</v>
      </c>
      <c r="AG642" s="3" t="s">
        <v>49</v>
      </c>
    </row>
    <row r="643" spans="1:33" ht="51" x14ac:dyDescent="0.2">
      <c r="A643" s="4" t="str">
        <f>HYPERLINK("http://www.patentics.cn/invokexml.do?sf=ShowPatent&amp;spn=CN101222267&amp;sv=61310360cb5b058ae4e35ca4be36d8b5","CN101222267")</f>
        <v>CN101222267</v>
      </c>
      <c r="B643" s="2" t="s">
        <v>2972</v>
      </c>
      <c r="C643" s="2" t="s">
        <v>2973</v>
      </c>
      <c r="D643" s="2" t="s">
        <v>38</v>
      </c>
      <c r="E643" s="2" t="s">
        <v>38</v>
      </c>
      <c r="F643" s="2" t="s">
        <v>2974</v>
      </c>
      <c r="G643" s="2" t="s">
        <v>2975</v>
      </c>
      <c r="H643" s="2" t="s">
        <v>2976</v>
      </c>
      <c r="I643" s="2" t="s">
        <v>2976</v>
      </c>
      <c r="J643" s="2" t="s">
        <v>2977</v>
      </c>
      <c r="K643" s="2" t="s">
        <v>84</v>
      </c>
      <c r="L643" s="2" t="s">
        <v>1922</v>
      </c>
      <c r="M643" s="2" t="s">
        <v>84</v>
      </c>
      <c r="N643" s="2" t="s">
        <v>1301</v>
      </c>
      <c r="O643" s="2">
        <v>7</v>
      </c>
      <c r="P643" s="2">
        <v>11</v>
      </c>
      <c r="Q643" s="2" t="s">
        <v>46</v>
      </c>
      <c r="R643" s="2" t="s">
        <v>47</v>
      </c>
      <c r="S643" s="2">
        <v>0</v>
      </c>
      <c r="T643" s="2">
        <v>0</v>
      </c>
      <c r="U643" s="2">
        <v>0</v>
      </c>
      <c r="V643" s="2">
        <v>0</v>
      </c>
      <c r="W643" s="2">
        <v>21</v>
      </c>
      <c r="X643" s="2" t="s">
        <v>2978</v>
      </c>
      <c r="Y643" s="2">
        <v>11</v>
      </c>
      <c r="Z643" s="2">
        <v>10</v>
      </c>
      <c r="AA643" s="2">
        <v>8</v>
      </c>
      <c r="AB643" s="2">
        <v>4</v>
      </c>
      <c r="AC643" s="2">
        <v>1</v>
      </c>
      <c r="AD643" s="2">
        <v>1</v>
      </c>
      <c r="AE643" s="2" t="s">
        <v>0</v>
      </c>
      <c r="AF643" s="2">
        <v>4</v>
      </c>
      <c r="AG643" s="2" t="s">
        <v>49</v>
      </c>
    </row>
    <row r="644" spans="1:33" ht="153" x14ac:dyDescent="0.2">
      <c r="A644" s="5" t="str">
        <f>HYPERLINK("http://www.patentics.cn/invokexml.do?sf=ShowPatent&amp;spn=US9089002&amp;sv=fcf7bd82964b3a2de0cd60e960681687","US9089002")</f>
        <v>US9089002</v>
      </c>
      <c r="B644" s="3" t="s">
        <v>2979</v>
      </c>
      <c r="C644" s="3" t="s">
        <v>2980</v>
      </c>
      <c r="D644" s="3" t="s">
        <v>52</v>
      </c>
      <c r="E644" s="3" t="s">
        <v>52</v>
      </c>
      <c r="F644" s="3" t="s">
        <v>2981</v>
      </c>
      <c r="G644" s="3" t="s">
        <v>2462</v>
      </c>
      <c r="H644" s="3" t="s">
        <v>2982</v>
      </c>
      <c r="I644" s="3" t="s">
        <v>2983</v>
      </c>
      <c r="J644" s="3" t="s">
        <v>212</v>
      </c>
      <c r="K644" s="3" t="s">
        <v>82</v>
      </c>
      <c r="L644" s="3" t="s">
        <v>83</v>
      </c>
      <c r="M644" s="3" t="s">
        <v>0</v>
      </c>
      <c r="N644" s="3" t="s">
        <v>0</v>
      </c>
      <c r="O644" s="3">
        <v>0</v>
      </c>
      <c r="P644" s="3">
        <v>4</v>
      </c>
      <c r="Q644" s="3" t="s">
        <v>60</v>
      </c>
      <c r="R644" s="3" t="s">
        <v>61</v>
      </c>
      <c r="S644" s="3">
        <v>32</v>
      </c>
      <c r="T644" s="3">
        <v>8</v>
      </c>
      <c r="U644" s="3">
        <v>24</v>
      </c>
      <c r="V644" s="3">
        <v>15</v>
      </c>
      <c r="W644" s="3">
        <v>0</v>
      </c>
      <c r="X644" s="3" t="s">
        <v>147</v>
      </c>
      <c r="Y644" s="3">
        <v>0</v>
      </c>
      <c r="Z644" s="3">
        <v>0</v>
      </c>
      <c r="AA644" s="3">
        <v>0</v>
      </c>
      <c r="AB644" s="3">
        <v>0</v>
      </c>
      <c r="AC644" s="3">
        <v>18</v>
      </c>
      <c r="AD644" s="3">
        <v>9</v>
      </c>
      <c r="AE644" s="3">
        <v>14</v>
      </c>
      <c r="AF644" s="3" t="s">
        <v>0</v>
      </c>
      <c r="AG644" s="3" t="s">
        <v>49</v>
      </c>
    </row>
    <row r="645" spans="1:33" ht="89.25" x14ac:dyDescent="0.2">
      <c r="A645" s="5" t="str">
        <f>HYPERLINK("http://www.patentics.cn/invokexml.do?sf=ShowPatent&amp;spn=US9160431&amp;sv=1a22bddf20d325d2f8775186bd264e2d","US9160431")</f>
        <v>US9160431</v>
      </c>
      <c r="B645" s="3" t="s">
        <v>2984</v>
      </c>
      <c r="C645" s="3" t="s">
        <v>2985</v>
      </c>
      <c r="D645" s="3" t="s">
        <v>52</v>
      </c>
      <c r="E645" s="3" t="s">
        <v>52</v>
      </c>
      <c r="F645" s="3" t="s">
        <v>2986</v>
      </c>
      <c r="G645" s="3" t="s">
        <v>2462</v>
      </c>
      <c r="H645" s="3" t="s">
        <v>1139</v>
      </c>
      <c r="I645" s="3" t="s">
        <v>1513</v>
      </c>
      <c r="J645" s="3" t="s">
        <v>830</v>
      </c>
      <c r="K645" s="3" t="s">
        <v>84</v>
      </c>
      <c r="L645" s="3" t="s">
        <v>506</v>
      </c>
      <c r="M645" s="3" t="s">
        <v>84</v>
      </c>
      <c r="N645" s="3" t="s">
        <v>2987</v>
      </c>
      <c r="O645" s="3">
        <v>0</v>
      </c>
      <c r="P645" s="3">
        <v>14</v>
      </c>
      <c r="Q645" s="3" t="s">
        <v>60</v>
      </c>
      <c r="R645" s="3" t="s">
        <v>61</v>
      </c>
      <c r="S645" s="3">
        <v>32</v>
      </c>
      <c r="T645" s="3">
        <v>8</v>
      </c>
      <c r="U645" s="3">
        <v>24</v>
      </c>
      <c r="V645" s="3">
        <v>15</v>
      </c>
      <c r="W645" s="3">
        <v>0</v>
      </c>
      <c r="X645" s="3" t="s">
        <v>147</v>
      </c>
      <c r="Y645" s="3">
        <v>0</v>
      </c>
      <c r="Z645" s="3">
        <v>0</v>
      </c>
      <c r="AA645" s="3">
        <v>0</v>
      </c>
      <c r="AB645" s="3">
        <v>0</v>
      </c>
      <c r="AC645" s="3">
        <v>13</v>
      </c>
      <c r="AD645" s="3">
        <v>9</v>
      </c>
      <c r="AE645" s="3">
        <v>14</v>
      </c>
      <c r="AF645" s="3" t="s">
        <v>0</v>
      </c>
      <c r="AG645" s="3" t="s">
        <v>49</v>
      </c>
    </row>
    <row r="646" spans="1:33" ht="153" x14ac:dyDescent="0.2">
      <c r="A646" s="5" t="str">
        <f>HYPERLINK("http://www.patentics.cn/invokexml.do?sf=ShowPatent&amp;spn=US9615397&amp;sv=e94cf37eb1f8bf604c4d9526a4b59d01","US9615397")</f>
        <v>US9615397</v>
      </c>
      <c r="B646" s="3" t="s">
        <v>2988</v>
      </c>
      <c r="C646" s="3" t="s">
        <v>2980</v>
      </c>
      <c r="D646" s="3" t="s">
        <v>52</v>
      </c>
      <c r="E646" s="3" t="s">
        <v>52</v>
      </c>
      <c r="F646" s="3" t="s">
        <v>2981</v>
      </c>
      <c r="G646" s="3" t="s">
        <v>2462</v>
      </c>
      <c r="H646" s="3" t="s">
        <v>0</v>
      </c>
      <c r="I646" s="3" t="s">
        <v>2989</v>
      </c>
      <c r="J646" s="3" t="s">
        <v>2990</v>
      </c>
      <c r="K646" s="3" t="s">
        <v>82</v>
      </c>
      <c r="L646" s="3" t="s">
        <v>2991</v>
      </c>
      <c r="M646" s="3" t="s">
        <v>82</v>
      </c>
      <c r="N646" s="3" t="s">
        <v>2992</v>
      </c>
      <c r="O646" s="3">
        <v>0</v>
      </c>
      <c r="P646" s="3">
        <v>9</v>
      </c>
      <c r="Q646" s="3" t="s">
        <v>60</v>
      </c>
      <c r="R646" s="3" t="s">
        <v>61</v>
      </c>
      <c r="S646" s="3">
        <v>31</v>
      </c>
      <c r="T646" s="3">
        <v>8</v>
      </c>
      <c r="U646" s="3">
        <v>23</v>
      </c>
      <c r="V646" s="3">
        <v>15</v>
      </c>
      <c r="W646" s="3">
        <v>0</v>
      </c>
      <c r="X646" s="3" t="s">
        <v>147</v>
      </c>
      <c r="Y646" s="3">
        <v>0</v>
      </c>
      <c r="Z646" s="3">
        <v>0</v>
      </c>
      <c r="AA646" s="3">
        <v>0</v>
      </c>
      <c r="AB646" s="3">
        <v>0</v>
      </c>
      <c r="AC646" s="3">
        <v>0</v>
      </c>
      <c r="AD646" s="3">
        <v>0</v>
      </c>
      <c r="AE646" s="3">
        <v>14</v>
      </c>
      <c r="AF646" s="3" t="s">
        <v>0</v>
      </c>
      <c r="AG646" s="3" t="s">
        <v>49</v>
      </c>
    </row>
    <row r="647" spans="1:33" ht="51" x14ac:dyDescent="0.2">
      <c r="A647" s="5" t="str">
        <f>HYPERLINK("http://www.patentics.cn/invokexml.do?sf=ShowPatent&amp;spn=CN102859897B&amp;sv=b8369f0d7a3a2fabef8c488120531ff6","CN102859897B")</f>
        <v>CN102859897B</v>
      </c>
      <c r="B647" s="3" t="s">
        <v>2993</v>
      </c>
      <c r="C647" s="3" t="s">
        <v>2994</v>
      </c>
      <c r="D647" s="3" t="s">
        <v>338</v>
      </c>
      <c r="E647" s="3" t="s">
        <v>338</v>
      </c>
      <c r="F647" s="3" t="s">
        <v>2995</v>
      </c>
      <c r="G647" s="3" t="s">
        <v>2996</v>
      </c>
      <c r="H647" s="3" t="s">
        <v>1139</v>
      </c>
      <c r="I647" s="3" t="s">
        <v>2997</v>
      </c>
      <c r="J647" s="3" t="s">
        <v>2998</v>
      </c>
      <c r="K647" s="3" t="s">
        <v>84</v>
      </c>
      <c r="L647" s="3" t="s">
        <v>506</v>
      </c>
      <c r="M647" s="3" t="s">
        <v>0</v>
      </c>
      <c r="N647" s="3" t="s">
        <v>0</v>
      </c>
      <c r="O647" s="3">
        <v>59</v>
      </c>
      <c r="P647" s="3">
        <v>13</v>
      </c>
      <c r="Q647" s="3" t="s">
        <v>60</v>
      </c>
      <c r="R647" s="3" t="s">
        <v>61</v>
      </c>
      <c r="S647" s="3">
        <v>1</v>
      </c>
      <c r="T647" s="3">
        <v>0</v>
      </c>
      <c r="U647" s="3">
        <v>1</v>
      </c>
      <c r="V647" s="3">
        <v>1</v>
      </c>
      <c r="W647" s="3">
        <v>0</v>
      </c>
      <c r="X647" s="3" t="s">
        <v>147</v>
      </c>
      <c r="Y647" s="3">
        <v>0</v>
      </c>
      <c r="Z647" s="3">
        <v>0</v>
      </c>
      <c r="AA647" s="3">
        <v>0</v>
      </c>
      <c r="AB647" s="3">
        <v>0</v>
      </c>
      <c r="AC647" s="3">
        <v>0</v>
      </c>
      <c r="AD647" s="3">
        <v>0</v>
      </c>
      <c r="AE647" s="3">
        <v>14</v>
      </c>
      <c r="AF647" s="3" t="s">
        <v>0</v>
      </c>
      <c r="AG647" s="3" t="s">
        <v>49</v>
      </c>
    </row>
    <row r="648" spans="1:33" ht="38.25" x14ac:dyDescent="0.2">
      <c r="A648" s="4" t="str">
        <f>HYPERLINK("http://www.patentics.cn/invokexml.do?sf=ShowPatent&amp;spn=CN101166133&amp;sv=4f7ad4cc707b669bc7bd24d6b9ae1366","CN101166133")</f>
        <v>CN101166133</v>
      </c>
      <c r="B648" s="2" t="s">
        <v>2999</v>
      </c>
      <c r="C648" s="2" t="s">
        <v>3000</v>
      </c>
      <c r="D648" s="2" t="s">
        <v>38</v>
      </c>
      <c r="E648" s="2" t="s">
        <v>38</v>
      </c>
      <c r="F648" s="2" t="s">
        <v>3001</v>
      </c>
      <c r="G648" s="2" t="s">
        <v>3002</v>
      </c>
      <c r="H648" s="2" t="s">
        <v>1245</v>
      </c>
      <c r="I648" s="2" t="s">
        <v>1245</v>
      </c>
      <c r="J648" s="2" t="s">
        <v>3003</v>
      </c>
      <c r="K648" s="2" t="s">
        <v>58</v>
      </c>
      <c r="L648" s="2" t="s">
        <v>289</v>
      </c>
      <c r="M648" s="2" t="s">
        <v>43</v>
      </c>
      <c r="N648" s="2" t="s">
        <v>3004</v>
      </c>
      <c r="O648" s="2">
        <v>10</v>
      </c>
      <c r="P648" s="2">
        <v>19</v>
      </c>
      <c r="Q648" s="2" t="s">
        <v>46</v>
      </c>
      <c r="R648" s="2" t="s">
        <v>47</v>
      </c>
      <c r="S648" s="2">
        <v>0</v>
      </c>
      <c r="T648" s="2">
        <v>0</v>
      </c>
      <c r="U648" s="2">
        <v>0</v>
      </c>
      <c r="V648" s="2">
        <v>0</v>
      </c>
      <c r="W648" s="2">
        <v>33</v>
      </c>
      <c r="X648" s="2" t="s">
        <v>3005</v>
      </c>
      <c r="Y648" s="2">
        <v>4</v>
      </c>
      <c r="Z648" s="2">
        <v>29</v>
      </c>
      <c r="AA648" s="2">
        <v>12</v>
      </c>
      <c r="AB648" s="2">
        <v>4</v>
      </c>
      <c r="AC648" s="2">
        <v>1</v>
      </c>
      <c r="AD648" s="2">
        <v>1</v>
      </c>
      <c r="AE648" s="2" t="s">
        <v>0</v>
      </c>
      <c r="AF648" s="2">
        <v>4</v>
      </c>
      <c r="AG648" s="2" t="s">
        <v>49</v>
      </c>
    </row>
    <row r="649" spans="1:33" ht="165.75" x14ac:dyDescent="0.2">
      <c r="A649" s="5" t="str">
        <f>HYPERLINK("http://www.patentics.cn/invokexml.do?sf=ShowPatent&amp;spn=US8619733&amp;sv=a8b411e34ec1fff62b6ab660b29bc165","US8619733")</f>
        <v>US8619733</v>
      </c>
      <c r="B649" s="3" t="s">
        <v>3006</v>
      </c>
      <c r="C649" s="3" t="s">
        <v>3007</v>
      </c>
      <c r="D649" s="3" t="s">
        <v>52</v>
      </c>
      <c r="E649" s="3" t="s">
        <v>52</v>
      </c>
      <c r="F649" s="3" t="s">
        <v>3008</v>
      </c>
      <c r="G649" s="3" t="s">
        <v>3009</v>
      </c>
      <c r="H649" s="3" t="s">
        <v>3010</v>
      </c>
      <c r="I649" s="3" t="s">
        <v>2951</v>
      </c>
      <c r="J649" s="3" t="s">
        <v>3011</v>
      </c>
      <c r="K649" s="3" t="s">
        <v>58</v>
      </c>
      <c r="L649" s="3" t="s">
        <v>1236</v>
      </c>
      <c r="M649" s="3" t="s">
        <v>82</v>
      </c>
      <c r="N649" s="3" t="s">
        <v>2048</v>
      </c>
      <c r="O649" s="3">
        <v>0</v>
      </c>
      <c r="P649" s="3">
        <v>4</v>
      </c>
      <c r="Q649" s="3" t="s">
        <v>60</v>
      </c>
      <c r="R649" s="3" t="s">
        <v>61</v>
      </c>
      <c r="S649" s="3">
        <v>31</v>
      </c>
      <c r="T649" s="3">
        <v>9</v>
      </c>
      <c r="U649" s="3">
        <v>22</v>
      </c>
      <c r="V649" s="3">
        <v>15</v>
      </c>
      <c r="W649" s="3">
        <v>13</v>
      </c>
      <c r="X649" s="3" t="s">
        <v>1186</v>
      </c>
      <c r="Y649" s="3">
        <v>0</v>
      </c>
      <c r="Z649" s="3">
        <v>13</v>
      </c>
      <c r="AA649" s="3">
        <v>1</v>
      </c>
      <c r="AB649" s="3">
        <v>2</v>
      </c>
      <c r="AC649" s="3">
        <v>31</v>
      </c>
      <c r="AD649" s="3">
        <v>11</v>
      </c>
      <c r="AE649" s="3">
        <v>14</v>
      </c>
      <c r="AF649" s="3" t="s">
        <v>0</v>
      </c>
      <c r="AG649" s="3" t="s">
        <v>49</v>
      </c>
    </row>
    <row r="650" spans="1:33" ht="76.5" x14ac:dyDescent="0.2">
      <c r="A650" s="5" t="str">
        <f>HYPERLINK("http://www.patentics.cn/invokexml.do?sf=ShowPatent&amp;spn=US8924535&amp;sv=04338258bfe31d0811b3366135be59be","US8924535")</f>
        <v>US8924535</v>
      </c>
      <c r="B650" s="3" t="s">
        <v>3012</v>
      </c>
      <c r="C650" s="3" t="s">
        <v>3013</v>
      </c>
      <c r="D650" s="3" t="s">
        <v>52</v>
      </c>
      <c r="E650" s="3" t="s">
        <v>52</v>
      </c>
      <c r="F650" s="3" t="s">
        <v>3014</v>
      </c>
      <c r="G650" s="3" t="s">
        <v>3015</v>
      </c>
      <c r="H650" s="3" t="s">
        <v>3016</v>
      </c>
      <c r="I650" s="3" t="s">
        <v>3017</v>
      </c>
      <c r="J650" s="3" t="s">
        <v>2248</v>
      </c>
      <c r="K650" s="3" t="s">
        <v>555</v>
      </c>
      <c r="L650" s="3" t="s">
        <v>1553</v>
      </c>
      <c r="M650" s="3" t="s">
        <v>82</v>
      </c>
      <c r="N650" s="3" t="s">
        <v>3018</v>
      </c>
      <c r="O650" s="3">
        <v>0</v>
      </c>
      <c r="P650" s="3">
        <v>19</v>
      </c>
      <c r="Q650" s="3" t="s">
        <v>60</v>
      </c>
      <c r="R650" s="3" t="s">
        <v>61</v>
      </c>
      <c r="S650" s="3">
        <v>34</v>
      </c>
      <c r="T650" s="3">
        <v>9</v>
      </c>
      <c r="U650" s="3">
        <v>25</v>
      </c>
      <c r="V650" s="3">
        <v>15</v>
      </c>
      <c r="W650" s="3">
        <v>19</v>
      </c>
      <c r="X650" s="3" t="s">
        <v>147</v>
      </c>
      <c r="Y650" s="3">
        <v>0</v>
      </c>
      <c r="Z650" s="3">
        <v>19</v>
      </c>
      <c r="AA650" s="3">
        <v>0</v>
      </c>
      <c r="AB650" s="3">
        <v>1</v>
      </c>
      <c r="AC650" s="3">
        <v>14</v>
      </c>
      <c r="AD650" s="3">
        <v>8</v>
      </c>
      <c r="AE650" s="3">
        <v>14</v>
      </c>
      <c r="AF650" s="3" t="s">
        <v>0</v>
      </c>
      <c r="AG650" s="3" t="s">
        <v>49</v>
      </c>
    </row>
    <row r="651" spans="1:33" ht="102" x14ac:dyDescent="0.2">
      <c r="A651" s="5" t="str">
        <f>HYPERLINK("http://www.patentics.cn/invokexml.do?sf=ShowPatent&amp;spn=US8995998&amp;sv=595650a121c296059df6904958fdc534","US8995998")</f>
        <v>US8995998</v>
      </c>
      <c r="B651" s="3" t="s">
        <v>3019</v>
      </c>
      <c r="C651" s="3" t="s">
        <v>3020</v>
      </c>
      <c r="D651" s="3" t="s">
        <v>52</v>
      </c>
      <c r="E651" s="3" t="s">
        <v>52</v>
      </c>
      <c r="F651" s="3" t="s">
        <v>3021</v>
      </c>
      <c r="G651" s="3" t="s">
        <v>1079</v>
      </c>
      <c r="H651" s="3" t="s">
        <v>884</v>
      </c>
      <c r="I651" s="3" t="s">
        <v>3022</v>
      </c>
      <c r="J651" s="3" t="s">
        <v>3023</v>
      </c>
      <c r="K651" s="3" t="s">
        <v>82</v>
      </c>
      <c r="L651" s="3" t="s">
        <v>177</v>
      </c>
      <c r="M651" s="3" t="s">
        <v>82</v>
      </c>
      <c r="N651" s="3" t="s">
        <v>290</v>
      </c>
      <c r="O651" s="3">
        <v>0</v>
      </c>
      <c r="P651" s="3">
        <v>9</v>
      </c>
      <c r="Q651" s="3" t="s">
        <v>60</v>
      </c>
      <c r="R651" s="3" t="s">
        <v>61</v>
      </c>
      <c r="S651" s="3">
        <v>8</v>
      </c>
      <c r="T651" s="3">
        <v>0</v>
      </c>
      <c r="U651" s="3">
        <v>8</v>
      </c>
      <c r="V651" s="3">
        <v>5</v>
      </c>
      <c r="W651" s="3">
        <v>6</v>
      </c>
      <c r="X651" s="3" t="s">
        <v>147</v>
      </c>
      <c r="Y651" s="3">
        <v>0</v>
      </c>
      <c r="Z651" s="3">
        <v>6</v>
      </c>
      <c r="AA651" s="3">
        <v>0</v>
      </c>
      <c r="AB651" s="3">
        <v>1</v>
      </c>
      <c r="AC651" s="3">
        <v>19</v>
      </c>
      <c r="AD651" s="3">
        <v>8</v>
      </c>
      <c r="AE651" s="3">
        <v>14</v>
      </c>
      <c r="AF651" s="3" t="s">
        <v>0</v>
      </c>
      <c r="AG651" s="3" t="s">
        <v>49</v>
      </c>
    </row>
    <row r="652" spans="1:33" ht="38.25" x14ac:dyDescent="0.2">
      <c r="A652" s="5" t="str">
        <f>HYPERLINK("http://www.patentics.cn/invokexml.do?sf=ShowPatent&amp;spn=CN102265653B&amp;sv=0e3172ba846e7af8227c2ac3b37734b4","CN102265653B")</f>
        <v>CN102265653B</v>
      </c>
      <c r="B652" s="3" t="s">
        <v>3024</v>
      </c>
      <c r="C652" s="3" t="s">
        <v>3025</v>
      </c>
      <c r="D652" s="3" t="s">
        <v>338</v>
      </c>
      <c r="E652" s="3" t="s">
        <v>338</v>
      </c>
      <c r="F652" s="3" t="s">
        <v>3026</v>
      </c>
      <c r="G652" s="3" t="s">
        <v>3027</v>
      </c>
      <c r="H652" s="3" t="s">
        <v>3016</v>
      </c>
      <c r="I652" s="3" t="s">
        <v>2108</v>
      </c>
      <c r="J652" s="3" t="s">
        <v>3028</v>
      </c>
      <c r="K652" s="3" t="s">
        <v>82</v>
      </c>
      <c r="L652" s="3" t="s">
        <v>3029</v>
      </c>
      <c r="M652" s="3" t="s">
        <v>0</v>
      </c>
      <c r="N652" s="3" t="s">
        <v>0</v>
      </c>
      <c r="O652" s="3">
        <v>15</v>
      </c>
      <c r="P652" s="3">
        <v>21</v>
      </c>
      <c r="Q652" s="3" t="s">
        <v>60</v>
      </c>
      <c r="R652" s="3" t="s">
        <v>61</v>
      </c>
      <c r="S652" s="3">
        <v>4</v>
      </c>
      <c r="T652" s="3">
        <v>0</v>
      </c>
      <c r="U652" s="3">
        <v>4</v>
      </c>
      <c r="V652" s="3">
        <v>3</v>
      </c>
      <c r="W652" s="3">
        <v>19</v>
      </c>
      <c r="X652" s="3" t="s">
        <v>147</v>
      </c>
      <c r="Y652" s="3">
        <v>0</v>
      </c>
      <c r="Z652" s="3">
        <v>19</v>
      </c>
      <c r="AA652" s="3">
        <v>0</v>
      </c>
      <c r="AB652" s="3">
        <v>1</v>
      </c>
      <c r="AC652" s="3">
        <v>14</v>
      </c>
      <c r="AD652" s="3">
        <v>8</v>
      </c>
      <c r="AE652" s="3">
        <v>14</v>
      </c>
      <c r="AF652" s="3" t="s">
        <v>0</v>
      </c>
      <c r="AG652" s="3" t="s">
        <v>49</v>
      </c>
    </row>
    <row r="653" spans="1:33" ht="25.5" x14ac:dyDescent="0.2">
      <c r="A653" s="4" t="str">
        <f>HYPERLINK("http://www.patentics.cn/invokexml.do?sf=ShowPatent&amp;spn=CN101136894&amp;sv=43800267c836995995cd5d0fd7550785","CN101136894")</f>
        <v>CN101136894</v>
      </c>
      <c r="B653" s="2" t="s">
        <v>3030</v>
      </c>
      <c r="C653" s="2" t="s">
        <v>3031</v>
      </c>
      <c r="D653" s="2" t="s">
        <v>38</v>
      </c>
      <c r="E653" s="2" t="s">
        <v>38</v>
      </c>
      <c r="F653" s="2" t="s">
        <v>3032</v>
      </c>
      <c r="G653" s="2" t="s">
        <v>3032</v>
      </c>
      <c r="H653" s="2" t="s">
        <v>3033</v>
      </c>
      <c r="I653" s="2" t="s">
        <v>3034</v>
      </c>
      <c r="J653" s="2" t="s">
        <v>2557</v>
      </c>
      <c r="K653" s="2" t="s">
        <v>58</v>
      </c>
      <c r="L653" s="2" t="s">
        <v>326</v>
      </c>
      <c r="M653" s="2" t="s">
        <v>58</v>
      </c>
      <c r="N653" s="2" t="s">
        <v>3035</v>
      </c>
      <c r="O653" s="2">
        <v>17</v>
      </c>
      <c r="P653" s="2">
        <v>13</v>
      </c>
      <c r="Q653" s="2" t="s">
        <v>46</v>
      </c>
      <c r="R653" s="2" t="s">
        <v>61</v>
      </c>
      <c r="S653" s="2">
        <v>0</v>
      </c>
      <c r="T653" s="2">
        <v>0</v>
      </c>
      <c r="U653" s="2">
        <v>0</v>
      </c>
      <c r="V653" s="2">
        <v>0</v>
      </c>
      <c r="W653" s="2">
        <v>20</v>
      </c>
      <c r="X653" s="2" t="s">
        <v>3036</v>
      </c>
      <c r="Y653" s="2">
        <v>1</v>
      </c>
      <c r="Z653" s="2">
        <v>19</v>
      </c>
      <c r="AA653" s="2">
        <v>9</v>
      </c>
      <c r="AB653" s="2">
        <v>6</v>
      </c>
      <c r="AC653" s="2">
        <v>11</v>
      </c>
      <c r="AD653" s="2">
        <v>8</v>
      </c>
      <c r="AE653" s="2" t="s">
        <v>0</v>
      </c>
      <c r="AF653" s="2">
        <v>4</v>
      </c>
      <c r="AG653" s="2" t="s">
        <v>49</v>
      </c>
    </row>
    <row r="654" spans="1:33" ht="76.5" x14ac:dyDescent="0.2">
      <c r="A654" s="5" t="str">
        <f>HYPERLINK("http://www.patentics.cn/invokexml.do?sf=ShowPatent&amp;spn=US8494065&amp;sv=418d06ed7bd40d1093f3726f5ac6f260","US8494065")</f>
        <v>US8494065</v>
      </c>
      <c r="B654" s="3" t="s">
        <v>3037</v>
      </c>
      <c r="C654" s="3" t="s">
        <v>3038</v>
      </c>
      <c r="D654" s="3" t="s">
        <v>52</v>
      </c>
      <c r="E654" s="3" t="s">
        <v>52</v>
      </c>
      <c r="F654" s="3" t="s">
        <v>3039</v>
      </c>
      <c r="G654" s="3" t="s">
        <v>3040</v>
      </c>
      <c r="H654" s="3" t="s">
        <v>3041</v>
      </c>
      <c r="I654" s="3" t="s">
        <v>3042</v>
      </c>
      <c r="J654" s="3" t="s">
        <v>3043</v>
      </c>
      <c r="K654" s="3" t="s">
        <v>333</v>
      </c>
      <c r="L654" s="3" t="s">
        <v>334</v>
      </c>
      <c r="M654" s="3" t="s">
        <v>58</v>
      </c>
      <c r="N654" s="3" t="s">
        <v>512</v>
      </c>
      <c r="O654" s="3">
        <v>0</v>
      </c>
      <c r="P654" s="3">
        <v>17</v>
      </c>
      <c r="Q654" s="3" t="s">
        <v>60</v>
      </c>
      <c r="R654" s="3" t="s">
        <v>61</v>
      </c>
      <c r="S654" s="3">
        <v>23</v>
      </c>
      <c r="T654" s="3">
        <v>7</v>
      </c>
      <c r="U654" s="3">
        <v>16</v>
      </c>
      <c r="V654" s="3">
        <v>9</v>
      </c>
      <c r="W654" s="3">
        <v>6</v>
      </c>
      <c r="X654" s="3" t="s">
        <v>147</v>
      </c>
      <c r="Y654" s="3">
        <v>0</v>
      </c>
      <c r="Z654" s="3">
        <v>6</v>
      </c>
      <c r="AA654" s="3">
        <v>0</v>
      </c>
      <c r="AB654" s="3">
        <v>1</v>
      </c>
      <c r="AC654" s="3">
        <v>15</v>
      </c>
      <c r="AD654" s="3">
        <v>9</v>
      </c>
      <c r="AE654" s="3">
        <v>14</v>
      </c>
      <c r="AF654" s="3" t="s">
        <v>0</v>
      </c>
      <c r="AG654" s="3" t="s">
        <v>49</v>
      </c>
    </row>
    <row r="655" spans="1:33" ht="63.75" x14ac:dyDescent="0.2">
      <c r="A655" s="5" t="str">
        <f>HYPERLINK("http://www.patentics.cn/invokexml.do?sf=ShowPatent&amp;spn=WO2009152177&amp;sv=1448a9d5218893f4af1acee7817fa539","WO2009152177")</f>
        <v>WO2009152177</v>
      </c>
      <c r="B655" s="3" t="s">
        <v>3044</v>
      </c>
      <c r="C655" s="3" t="s">
        <v>3045</v>
      </c>
      <c r="D655" s="3" t="s">
        <v>3046</v>
      </c>
      <c r="E655" s="3" t="s">
        <v>3047</v>
      </c>
      <c r="F655" s="3" t="s">
        <v>3048</v>
      </c>
      <c r="G655" s="3" t="s">
        <v>3049</v>
      </c>
      <c r="H655" s="3" t="s">
        <v>3041</v>
      </c>
      <c r="I655" s="3" t="s">
        <v>3050</v>
      </c>
      <c r="J655" s="3" t="s">
        <v>3051</v>
      </c>
      <c r="K655" s="3" t="s">
        <v>58</v>
      </c>
      <c r="L655" s="3" t="s">
        <v>188</v>
      </c>
      <c r="M655" s="3" t="s">
        <v>0</v>
      </c>
      <c r="N655" s="3" t="s">
        <v>0</v>
      </c>
      <c r="O655" s="3">
        <v>40</v>
      </c>
      <c r="P655" s="3">
        <v>16</v>
      </c>
      <c r="Q655" s="3" t="s">
        <v>352</v>
      </c>
      <c r="R655" s="3" t="s">
        <v>61</v>
      </c>
      <c r="S655" s="3">
        <v>3</v>
      </c>
      <c r="T655" s="3">
        <v>1</v>
      </c>
      <c r="U655" s="3">
        <v>2</v>
      </c>
      <c r="V655" s="3">
        <v>3</v>
      </c>
      <c r="W655" s="3">
        <v>7</v>
      </c>
      <c r="X655" s="3" t="s">
        <v>3052</v>
      </c>
      <c r="Y655" s="3">
        <v>0</v>
      </c>
      <c r="Z655" s="3">
        <v>7</v>
      </c>
      <c r="AA655" s="3">
        <v>1</v>
      </c>
      <c r="AB655" s="3">
        <v>2</v>
      </c>
      <c r="AC655" s="3">
        <v>15</v>
      </c>
      <c r="AD655" s="3">
        <v>9</v>
      </c>
      <c r="AE655" s="3">
        <v>14</v>
      </c>
      <c r="AF655" s="3" t="s">
        <v>0</v>
      </c>
      <c r="AG655" s="3" t="s">
        <v>0</v>
      </c>
    </row>
    <row r="656" spans="1:33" ht="38.25" x14ac:dyDescent="0.2">
      <c r="A656" s="5" t="str">
        <f>HYPERLINK("http://www.patentics.cn/invokexml.do?sf=ShowPatent&amp;spn=CN102057641B&amp;sv=9be7f52ce5d38b615be94220566c33f7","CN102057641B")</f>
        <v>CN102057641B</v>
      </c>
      <c r="B656" s="3" t="s">
        <v>3053</v>
      </c>
      <c r="C656" s="3" t="s">
        <v>3054</v>
      </c>
      <c r="D656" s="3" t="s">
        <v>338</v>
      </c>
      <c r="E656" s="3" t="s">
        <v>338</v>
      </c>
      <c r="F656" s="3" t="s">
        <v>3055</v>
      </c>
      <c r="G656" s="3" t="s">
        <v>3056</v>
      </c>
      <c r="H656" s="3" t="s">
        <v>3041</v>
      </c>
      <c r="I656" s="3" t="s">
        <v>3050</v>
      </c>
      <c r="J656" s="3" t="s">
        <v>3057</v>
      </c>
      <c r="K656" s="3" t="s">
        <v>58</v>
      </c>
      <c r="L656" s="3" t="s">
        <v>326</v>
      </c>
      <c r="M656" s="3" t="s">
        <v>0</v>
      </c>
      <c r="N656" s="3" t="s">
        <v>0</v>
      </c>
      <c r="O656" s="3">
        <v>18</v>
      </c>
      <c r="P656" s="3">
        <v>22</v>
      </c>
      <c r="Q656" s="3" t="s">
        <v>60</v>
      </c>
      <c r="R656" s="3" t="s">
        <v>61</v>
      </c>
      <c r="S656" s="3">
        <v>1</v>
      </c>
      <c r="T656" s="3">
        <v>0</v>
      </c>
      <c r="U656" s="3">
        <v>1</v>
      </c>
      <c r="V656" s="3">
        <v>1</v>
      </c>
      <c r="W656" s="3">
        <v>6</v>
      </c>
      <c r="X656" s="3" t="s">
        <v>147</v>
      </c>
      <c r="Y656" s="3">
        <v>0</v>
      </c>
      <c r="Z656" s="3">
        <v>6</v>
      </c>
      <c r="AA656" s="3">
        <v>0</v>
      </c>
      <c r="AB656" s="3">
        <v>1</v>
      </c>
      <c r="AC656" s="3">
        <v>15</v>
      </c>
      <c r="AD656" s="3">
        <v>9</v>
      </c>
      <c r="AE656" s="3">
        <v>14</v>
      </c>
      <c r="AF656" s="3" t="s">
        <v>0</v>
      </c>
      <c r="AG656" s="3" t="s">
        <v>49</v>
      </c>
    </row>
    <row r="657" spans="1:33" ht="89.25" x14ac:dyDescent="0.2">
      <c r="A657" s="5" t="str">
        <f>HYPERLINK("http://www.patentics.cn/invokexml.do?sf=ShowPatent&amp;spn=RU2471299C2&amp;sv=9b47d85678bc253b12c5dc37c8a98c01","RU2471299C2")</f>
        <v>RU2471299C2</v>
      </c>
      <c r="B657" s="3" t="s">
        <v>3058</v>
      </c>
      <c r="C657" s="3" t="s">
        <v>3059</v>
      </c>
      <c r="D657" s="3" t="s">
        <v>52</v>
      </c>
      <c r="E657" s="3" t="s">
        <v>52</v>
      </c>
      <c r="F657" s="3" t="s">
        <v>3060</v>
      </c>
      <c r="G657" s="3" t="s">
        <v>3061</v>
      </c>
      <c r="H657" s="3" t="s">
        <v>3041</v>
      </c>
      <c r="I657" s="3" t="s">
        <v>3050</v>
      </c>
      <c r="J657" s="3" t="s">
        <v>3062</v>
      </c>
      <c r="K657" s="3" t="s">
        <v>58</v>
      </c>
      <c r="L657" s="3" t="s">
        <v>188</v>
      </c>
      <c r="M657" s="3" t="s">
        <v>58</v>
      </c>
      <c r="N657" s="3" t="s">
        <v>512</v>
      </c>
      <c r="O657" s="3">
        <v>0</v>
      </c>
      <c r="P657" s="3">
        <v>0</v>
      </c>
      <c r="Q657" s="3" t="s">
        <v>60</v>
      </c>
      <c r="R657" s="3" t="s">
        <v>61</v>
      </c>
      <c r="S657" s="3">
        <v>3</v>
      </c>
      <c r="T657" s="3">
        <v>1</v>
      </c>
      <c r="U657" s="3">
        <v>2</v>
      </c>
      <c r="V657" s="3">
        <v>3</v>
      </c>
      <c r="W657" s="3">
        <v>0</v>
      </c>
      <c r="X657" s="3" t="s">
        <v>147</v>
      </c>
      <c r="Y657" s="3">
        <v>0</v>
      </c>
      <c r="Z657" s="3">
        <v>0</v>
      </c>
      <c r="AA657" s="3">
        <v>0</v>
      </c>
      <c r="AB657" s="3">
        <v>0</v>
      </c>
      <c r="AC657" s="3">
        <v>15</v>
      </c>
      <c r="AD657" s="3">
        <v>9</v>
      </c>
      <c r="AE657" s="3">
        <v>14</v>
      </c>
      <c r="AF657" s="3" t="s">
        <v>0</v>
      </c>
      <c r="AG657" s="3" t="s">
        <v>0</v>
      </c>
    </row>
    <row r="658" spans="1:33" ht="38.25" x14ac:dyDescent="0.2">
      <c r="A658" s="4" t="str">
        <f>HYPERLINK("http://www.patentics.cn/invokexml.do?sf=ShowPatent&amp;spn=CN101128056&amp;sv=71a98c74d92baf1953e42e631c42f3b3","CN101128056")</f>
        <v>CN101128056</v>
      </c>
      <c r="B658" s="2" t="s">
        <v>3063</v>
      </c>
      <c r="C658" s="2" t="s">
        <v>3064</v>
      </c>
      <c r="D658" s="2" t="s">
        <v>38</v>
      </c>
      <c r="E658" s="2" t="s">
        <v>38</v>
      </c>
      <c r="F658" s="2" t="s">
        <v>3065</v>
      </c>
      <c r="G658" s="2" t="s">
        <v>3066</v>
      </c>
      <c r="H658" s="2" t="s">
        <v>2328</v>
      </c>
      <c r="I658" s="2" t="s">
        <v>2328</v>
      </c>
      <c r="J658" s="2" t="s">
        <v>3067</v>
      </c>
      <c r="K658" s="2" t="s">
        <v>43</v>
      </c>
      <c r="L658" s="2" t="s">
        <v>2591</v>
      </c>
      <c r="M658" s="2" t="s">
        <v>84</v>
      </c>
      <c r="N658" s="2" t="s">
        <v>3068</v>
      </c>
      <c r="O658" s="2">
        <v>10</v>
      </c>
      <c r="P658" s="2">
        <v>7</v>
      </c>
      <c r="Q658" s="2" t="s">
        <v>46</v>
      </c>
      <c r="R658" s="2" t="s">
        <v>47</v>
      </c>
      <c r="S658" s="2">
        <v>0</v>
      </c>
      <c r="T658" s="2">
        <v>0</v>
      </c>
      <c r="U658" s="2">
        <v>0</v>
      </c>
      <c r="V658" s="2">
        <v>0</v>
      </c>
      <c r="W658" s="2">
        <v>13</v>
      </c>
      <c r="X658" s="2" t="s">
        <v>3069</v>
      </c>
      <c r="Y658" s="2">
        <v>2</v>
      </c>
      <c r="Z658" s="2">
        <v>11</v>
      </c>
      <c r="AA658" s="2">
        <v>5</v>
      </c>
      <c r="AB658" s="2">
        <v>3</v>
      </c>
      <c r="AC658" s="2">
        <v>1</v>
      </c>
      <c r="AD658" s="2">
        <v>1</v>
      </c>
      <c r="AE658" s="2" t="s">
        <v>0</v>
      </c>
      <c r="AF658" s="2">
        <v>4</v>
      </c>
      <c r="AG658" s="2" t="s">
        <v>49</v>
      </c>
    </row>
    <row r="659" spans="1:33" ht="51" x14ac:dyDescent="0.2">
      <c r="A659" s="5" t="str">
        <f>HYPERLINK("http://www.patentics.cn/invokexml.do?sf=ShowPatent&amp;spn=US9246541&amp;sv=cb777b73c8a0bab977724bc4d93e88e8","US9246541")</f>
        <v>US9246541</v>
      </c>
      <c r="B659" s="3" t="s">
        <v>3070</v>
      </c>
      <c r="C659" s="3" t="s">
        <v>3071</v>
      </c>
      <c r="D659" s="3" t="s">
        <v>52</v>
      </c>
      <c r="E659" s="3" t="s">
        <v>52</v>
      </c>
      <c r="F659" s="3" t="s">
        <v>3072</v>
      </c>
      <c r="G659" s="3" t="s">
        <v>3073</v>
      </c>
      <c r="H659" s="3" t="s">
        <v>3074</v>
      </c>
      <c r="I659" s="3" t="s">
        <v>1092</v>
      </c>
      <c r="J659" s="3" t="s">
        <v>309</v>
      </c>
      <c r="K659" s="3" t="s">
        <v>84</v>
      </c>
      <c r="L659" s="3" t="s">
        <v>3075</v>
      </c>
      <c r="M659" s="3" t="s">
        <v>84</v>
      </c>
      <c r="N659" s="3" t="s">
        <v>115</v>
      </c>
      <c r="O659" s="3">
        <v>0</v>
      </c>
      <c r="P659" s="3">
        <v>16</v>
      </c>
      <c r="Q659" s="3" t="s">
        <v>60</v>
      </c>
      <c r="R659" s="3" t="s">
        <v>61</v>
      </c>
      <c r="S659" s="3">
        <v>85</v>
      </c>
      <c r="T659" s="3">
        <v>16</v>
      </c>
      <c r="U659" s="3">
        <v>69</v>
      </c>
      <c r="V659" s="3">
        <v>30</v>
      </c>
      <c r="W659" s="3">
        <v>0</v>
      </c>
      <c r="X659" s="3" t="s">
        <v>147</v>
      </c>
      <c r="Y659" s="3">
        <v>0</v>
      </c>
      <c r="Z659" s="3">
        <v>0</v>
      </c>
      <c r="AA659" s="3">
        <v>0</v>
      </c>
      <c r="AB659" s="3">
        <v>0</v>
      </c>
      <c r="AC659" s="3">
        <v>25</v>
      </c>
      <c r="AD659" s="3">
        <v>15</v>
      </c>
      <c r="AE659" s="3">
        <v>14</v>
      </c>
      <c r="AF659" s="3" t="s">
        <v>0</v>
      </c>
      <c r="AG659" s="3" t="s">
        <v>49</v>
      </c>
    </row>
    <row r="660" spans="1:33" ht="76.5" x14ac:dyDescent="0.2">
      <c r="A660" s="5" t="str">
        <f>HYPERLINK("http://www.patentics.cn/invokexml.do?sf=ShowPatent&amp;spn=US9402193&amp;sv=eab58d91839fa3957d5091efbf6a7e34","US9402193")</f>
        <v>US9402193</v>
      </c>
      <c r="B660" s="3" t="s">
        <v>3076</v>
      </c>
      <c r="C660" s="3" t="s">
        <v>3077</v>
      </c>
      <c r="D660" s="3" t="s">
        <v>52</v>
      </c>
      <c r="E660" s="3" t="s">
        <v>52</v>
      </c>
      <c r="F660" s="3" t="s">
        <v>3078</v>
      </c>
      <c r="G660" s="3" t="s">
        <v>2533</v>
      </c>
      <c r="H660" s="3" t="s">
        <v>1927</v>
      </c>
      <c r="I660" s="3" t="s">
        <v>3079</v>
      </c>
      <c r="J660" s="3" t="s">
        <v>1419</v>
      </c>
      <c r="K660" s="3" t="s">
        <v>82</v>
      </c>
      <c r="L660" s="3" t="s">
        <v>318</v>
      </c>
      <c r="M660" s="3" t="s">
        <v>82</v>
      </c>
      <c r="N660" s="3" t="s">
        <v>958</v>
      </c>
      <c r="O660" s="3">
        <v>0</v>
      </c>
      <c r="P660" s="3">
        <v>15</v>
      </c>
      <c r="Q660" s="3" t="s">
        <v>60</v>
      </c>
      <c r="R660" s="3" t="s">
        <v>61</v>
      </c>
      <c r="S660" s="3">
        <v>90</v>
      </c>
      <c r="T660" s="3">
        <v>19</v>
      </c>
      <c r="U660" s="3">
        <v>71</v>
      </c>
      <c r="V660" s="3">
        <v>31</v>
      </c>
      <c r="W660" s="3">
        <v>0</v>
      </c>
      <c r="X660" s="3" t="s">
        <v>147</v>
      </c>
      <c r="Y660" s="3">
        <v>0</v>
      </c>
      <c r="Z660" s="3">
        <v>0</v>
      </c>
      <c r="AA660" s="3">
        <v>0</v>
      </c>
      <c r="AB660" s="3">
        <v>0</v>
      </c>
      <c r="AC660" s="3">
        <v>35</v>
      </c>
      <c r="AD660" s="3">
        <v>8</v>
      </c>
      <c r="AE660" s="3">
        <v>14</v>
      </c>
      <c r="AF660" s="3" t="s">
        <v>0</v>
      </c>
      <c r="AG660" s="3" t="s">
        <v>49</v>
      </c>
    </row>
    <row r="661" spans="1:33" ht="38.25" x14ac:dyDescent="0.2">
      <c r="A661" s="5" t="str">
        <f>HYPERLINK("http://www.patentics.cn/invokexml.do?sf=ShowPatent&amp;spn=CN102165832B&amp;sv=c4a6f30bc0a37f182820d1ccc28e2c46","CN102165832B")</f>
        <v>CN102165832B</v>
      </c>
      <c r="B661" s="3" t="s">
        <v>3080</v>
      </c>
      <c r="C661" s="3" t="s">
        <v>3081</v>
      </c>
      <c r="D661" s="3" t="s">
        <v>338</v>
      </c>
      <c r="E661" s="3" t="s">
        <v>338</v>
      </c>
      <c r="F661" s="3" t="s">
        <v>3082</v>
      </c>
      <c r="G661" s="3" t="s">
        <v>3083</v>
      </c>
      <c r="H661" s="3" t="s">
        <v>3084</v>
      </c>
      <c r="I661" s="3" t="s">
        <v>1269</v>
      </c>
      <c r="J661" s="3" t="s">
        <v>3085</v>
      </c>
      <c r="K661" s="3" t="s">
        <v>82</v>
      </c>
      <c r="L661" s="3" t="s">
        <v>318</v>
      </c>
      <c r="M661" s="3" t="s">
        <v>0</v>
      </c>
      <c r="N661" s="3" t="s">
        <v>0</v>
      </c>
      <c r="O661" s="3">
        <v>68</v>
      </c>
      <c r="P661" s="3">
        <v>23</v>
      </c>
      <c r="Q661" s="3" t="s">
        <v>60</v>
      </c>
      <c r="R661" s="3" t="s">
        <v>61</v>
      </c>
      <c r="S661" s="3">
        <v>3</v>
      </c>
      <c r="T661" s="3">
        <v>0</v>
      </c>
      <c r="U661" s="3">
        <v>3</v>
      </c>
      <c r="V661" s="3">
        <v>3</v>
      </c>
      <c r="W661" s="3">
        <v>0</v>
      </c>
      <c r="X661" s="3" t="s">
        <v>147</v>
      </c>
      <c r="Y661" s="3">
        <v>0</v>
      </c>
      <c r="Z661" s="3">
        <v>0</v>
      </c>
      <c r="AA661" s="3">
        <v>0</v>
      </c>
      <c r="AB661" s="3">
        <v>0</v>
      </c>
      <c r="AC661" s="3">
        <v>33</v>
      </c>
      <c r="AD661" s="3">
        <v>9</v>
      </c>
      <c r="AE661" s="3">
        <v>14</v>
      </c>
      <c r="AF661" s="3" t="s">
        <v>0</v>
      </c>
      <c r="AG661" s="3" t="s">
        <v>49</v>
      </c>
    </row>
    <row r="662" spans="1:33" ht="38.25" x14ac:dyDescent="0.2">
      <c r="A662" s="5" t="str">
        <f>HYPERLINK("http://www.patentics.cn/invokexml.do?sf=ShowPatent&amp;spn=CN102356657B&amp;sv=5df7223288595e4e5cf1b7cd71bbd4ef","CN102356657B")</f>
        <v>CN102356657B</v>
      </c>
      <c r="B662" s="3" t="s">
        <v>3086</v>
      </c>
      <c r="C662" s="3" t="s">
        <v>3087</v>
      </c>
      <c r="D662" s="3" t="s">
        <v>338</v>
      </c>
      <c r="E662" s="3" t="s">
        <v>338</v>
      </c>
      <c r="F662" s="3" t="s">
        <v>3088</v>
      </c>
      <c r="G662" s="3" t="s">
        <v>3089</v>
      </c>
      <c r="H662" s="3" t="s">
        <v>1927</v>
      </c>
      <c r="I662" s="3" t="s">
        <v>3090</v>
      </c>
      <c r="J662" s="3" t="s">
        <v>3091</v>
      </c>
      <c r="K662" s="3" t="s">
        <v>82</v>
      </c>
      <c r="L662" s="3" t="s">
        <v>2082</v>
      </c>
      <c r="M662" s="3" t="s">
        <v>0</v>
      </c>
      <c r="N662" s="3" t="s">
        <v>0</v>
      </c>
      <c r="O662" s="3">
        <v>30</v>
      </c>
      <c r="P662" s="3">
        <v>12</v>
      </c>
      <c r="Q662" s="3" t="s">
        <v>60</v>
      </c>
      <c r="R662" s="3" t="s">
        <v>61</v>
      </c>
      <c r="S662" s="3">
        <v>4</v>
      </c>
      <c r="T662" s="3">
        <v>0</v>
      </c>
      <c r="U662" s="3">
        <v>4</v>
      </c>
      <c r="V662" s="3">
        <v>4</v>
      </c>
      <c r="W662" s="3">
        <v>0</v>
      </c>
      <c r="X662" s="3" t="s">
        <v>147</v>
      </c>
      <c r="Y662" s="3">
        <v>0</v>
      </c>
      <c r="Z662" s="3">
        <v>0</v>
      </c>
      <c r="AA662" s="3">
        <v>0</v>
      </c>
      <c r="AB662" s="3">
        <v>0</v>
      </c>
      <c r="AC662" s="3">
        <v>35</v>
      </c>
      <c r="AD662" s="3">
        <v>8</v>
      </c>
      <c r="AE662" s="3">
        <v>14</v>
      </c>
      <c r="AF662" s="3" t="s">
        <v>0</v>
      </c>
      <c r="AG662" s="3" t="s">
        <v>49</v>
      </c>
    </row>
    <row r="663" spans="1:33" ht="25.5" x14ac:dyDescent="0.2">
      <c r="A663" s="4" t="str">
        <f>HYPERLINK("http://www.patentics.cn/invokexml.do?sf=ShowPatent&amp;spn=CN1956376&amp;sv=57f670e86d97102f7c858138c0914b75","CN1956376")</f>
        <v>CN1956376</v>
      </c>
      <c r="B663" s="2" t="s">
        <v>3092</v>
      </c>
      <c r="C663" s="2" t="s">
        <v>3093</v>
      </c>
      <c r="D663" s="2" t="s">
        <v>38</v>
      </c>
      <c r="E663" s="2" t="s">
        <v>38</v>
      </c>
      <c r="F663" s="2" t="s">
        <v>3094</v>
      </c>
      <c r="G663" s="2" t="s">
        <v>3095</v>
      </c>
      <c r="H663" s="2" t="s">
        <v>3096</v>
      </c>
      <c r="I663" s="2" t="s">
        <v>3096</v>
      </c>
      <c r="J663" s="2" t="s">
        <v>3097</v>
      </c>
      <c r="K663" s="2" t="s">
        <v>58</v>
      </c>
      <c r="L663" s="2" t="s">
        <v>3098</v>
      </c>
      <c r="M663" s="2" t="s">
        <v>58</v>
      </c>
      <c r="N663" s="2" t="s">
        <v>3099</v>
      </c>
      <c r="O663" s="2">
        <v>10</v>
      </c>
      <c r="P663" s="2">
        <v>30</v>
      </c>
      <c r="Q663" s="2" t="s">
        <v>46</v>
      </c>
      <c r="R663" s="2" t="s">
        <v>47</v>
      </c>
      <c r="S663" s="2">
        <v>0</v>
      </c>
      <c r="T663" s="2">
        <v>0</v>
      </c>
      <c r="U663" s="2">
        <v>0</v>
      </c>
      <c r="V663" s="2">
        <v>0</v>
      </c>
      <c r="W663" s="2">
        <v>15</v>
      </c>
      <c r="X663" s="2" t="s">
        <v>3100</v>
      </c>
      <c r="Y663" s="2">
        <v>3</v>
      </c>
      <c r="Z663" s="2">
        <v>12</v>
      </c>
      <c r="AA663" s="2">
        <v>5</v>
      </c>
      <c r="AB663" s="2">
        <v>4</v>
      </c>
      <c r="AC663" s="2">
        <v>1</v>
      </c>
      <c r="AD663" s="2">
        <v>1</v>
      </c>
      <c r="AE663" s="2" t="s">
        <v>0</v>
      </c>
      <c r="AF663" s="2">
        <v>4</v>
      </c>
      <c r="AG663" s="2" t="s">
        <v>49</v>
      </c>
    </row>
    <row r="664" spans="1:33" ht="102" x14ac:dyDescent="0.2">
      <c r="A664" s="5" t="str">
        <f>HYPERLINK("http://www.patentics.cn/invokexml.do?sf=ShowPatent&amp;spn=US8548467&amp;sv=09abdcbceceea94310e279c89e8ca2f6","US8548467")</f>
        <v>US8548467</v>
      </c>
      <c r="B664" s="3" t="s">
        <v>3101</v>
      </c>
      <c r="C664" s="3" t="s">
        <v>3102</v>
      </c>
      <c r="D664" s="3" t="s">
        <v>52</v>
      </c>
      <c r="E664" s="3" t="s">
        <v>52</v>
      </c>
      <c r="F664" s="3" t="s">
        <v>3103</v>
      </c>
      <c r="G664" s="3" t="s">
        <v>3104</v>
      </c>
      <c r="H664" s="3" t="s">
        <v>640</v>
      </c>
      <c r="I664" s="3" t="s">
        <v>640</v>
      </c>
      <c r="J664" s="3" t="s">
        <v>107</v>
      </c>
      <c r="K664" s="3" t="s">
        <v>82</v>
      </c>
      <c r="L664" s="3" t="s">
        <v>83</v>
      </c>
      <c r="M664" s="3" t="s">
        <v>58</v>
      </c>
      <c r="N664" s="3" t="s">
        <v>3105</v>
      </c>
      <c r="O664" s="3">
        <v>0</v>
      </c>
      <c r="P664" s="3">
        <v>15</v>
      </c>
      <c r="Q664" s="3" t="s">
        <v>60</v>
      </c>
      <c r="R664" s="3" t="s">
        <v>61</v>
      </c>
      <c r="S664" s="3">
        <v>51</v>
      </c>
      <c r="T664" s="3">
        <v>4</v>
      </c>
      <c r="U664" s="3">
        <v>47</v>
      </c>
      <c r="V664" s="3">
        <v>24</v>
      </c>
      <c r="W664" s="3">
        <v>2</v>
      </c>
      <c r="X664" s="3" t="s">
        <v>1186</v>
      </c>
      <c r="Y664" s="3">
        <v>2</v>
      </c>
      <c r="Z664" s="3">
        <v>0</v>
      </c>
      <c r="AA664" s="3">
        <v>1</v>
      </c>
      <c r="AB664" s="3">
        <v>1</v>
      </c>
      <c r="AC664" s="3">
        <v>13</v>
      </c>
      <c r="AD664" s="3">
        <v>7</v>
      </c>
      <c r="AE664" s="3">
        <v>14</v>
      </c>
      <c r="AF664" s="3" t="s">
        <v>0</v>
      </c>
      <c r="AG664" s="3" t="s">
        <v>49</v>
      </c>
    </row>
    <row r="665" spans="1:33" ht="51" x14ac:dyDescent="0.2">
      <c r="A665" s="5" t="str">
        <f>HYPERLINK("http://www.patentics.cn/invokexml.do?sf=ShowPatent&amp;spn=US8862872&amp;sv=0e63a9dbbfa1287c03da3058e90e1dca","US8862872")</f>
        <v>US8862872</v>
      </c>
      <c r="B665" s="3" t="s">
        <v>3106</v>
      </c>
      <c r="C665" s="3" t="s">
        <v>3107</v>
      </c>
      <c r="D665" s="3" t="s">
        <v>52</v>
      </c>
      <c r="E665" s="3" t="s">
        <v>52</v>
      </c>
      <c r="F665" s="3" t="s">
        <v>3108</v>
      </c>
      <c r="G665" s="3" t="s">
        <v>3104</v>
      </c>
      <c r="H665" s="3" t="s">
        <v>640</v>
      </c>
      <c r="I665" s="3" t="s">
        <v>640</v>
      </c>
      <c r="J665" s="3" t="s">
        <v>1461</v>
      </c>
      <c r="K665" s="3" t="s">
        <v>58</v>
      </c>
      <c r="L665" s="3" t="s">
        <v>722</v>
      </c>
      <c r="M665" s="3" t="s">
        <v>58</v>
      </c>
      <c r="N665" s="3" t="s">
        <v>3105</v>
      </c>
      <c r="O665" s="3">
        <v>0</v>
      </c>
      <c r="P665" s="3">
        <v>16</v>
      </c>
      <c r="Q665" s="3" t="s">
        <v>60</v>
      </c>
      <c r="R665" s="3" t="s">
        <v>61</v>
      </c>
      <c r="S665" s="3">
        <v>68</v>
      </c>
      <c r="T665" s="3">
        <v>5</v>
      </c>
      <c r="U665" s="3">
        <v>63</v>
      </c>
      <c r="V665" s="3">
        <v>29</v>
      </c>
      <c r="W665" s="3">
        <v>1</v>
      </c>
      <c r="X665" s="3" t="s">
        <v>74</v>
      </c>
      <c r="Y665" s="3">
        <v>0</v>
      </c>
      <c r="Z665" s="3">
        <v>1</v>
      </c>
      <c r="AA665" s="3">
        <v>1</v>
      </c>
      <c r="AB665" s="3">
        <v>1</v>
      </c>
      <c r="AC665" s="3">
        <v>11</v>
      </c>
      <c r="AD665" s="3">
        <v>7</v>
      </c>
      <c r="AE665" s="3">
        <v>14</v>
      </c>
      <c r="AF665" s="3" t="s">
        <v>0</v>
      </c>
      <c r="AG665" s="3" t="s">
        <v>49</v>
      </c>
    </row>
    <row r="666" spans="1:33" ht="114.75" x14ac:dyDescent="0.2">
      <c r="A666" s="5" t="str">
        <f>HYPERLINK("http://www.patentics.cn/invokexml.do?sf=ShowPatent&amp;spn=US8913995&amp;sv=42a30dcbc5b7ace9d415d947c5b2b97f","US8913995")</f>
        <v>US8913995</v>
      </c>
      <c r="B666" s="3" t="s">
        <v>3109</v>
      </c>
      <c r="C666" s="3" t="s">
        <v>3102</v>
      </c>
      <c r="D666" s="3" t="s">
        <v>52</v>
      </c>
      <c r="E666" s="3" t="s">
        <v>52</v>
      </c>
      <c r="F666" s="3" t="s">
        <v>3110</v>
      </c>
      <c r="G666" s="3" t="s">
        <v>3104</v>
      </c>
      <c r="H666" s="3" t="s">
        <v>640</v>
      </c>
      <c r="I666" s="3" t="s">
        <v>504</v>
      </c>
      <c r="J666" s="3" t="s">
        <v>493</v>
      </c>
      <c r="K666" s="3" t="s">
        <v>270</v>
      </c>
      <c r="L666" s="3" t="s">
        <v>2654</v>
      </c>
      <c r="M666" s="3" t="s">
        <v>58</v>
      </c>
      <c r="N666" s="3" t="s">
        <v>3105</v>
      </c>
      <c r="O666" s="3">
        <v>0</v>
      </c>
      <c r="P666" s="3">
        <v>17</v>
      </c>
      <c r="Q666" s="3" t="s">
        <v>60</v>
      </c>
      <c r="R666" s="3" t="s">
        <v>61</v>
      </c>
      <c r="S666" s="3">
        <v>81</v>
      </c>
      <c r="T666" s="3">
        <v>6</v>
      </c>
      <c r="U666" s="3">
        <v>75</v>
      </c>
      <c r="V666" s="3">
        <v>38</v>
      </c>
      <c r="W666" s="3">
        <v>1</v>
      </c>
      <c r="X666" s="3" t="s">
        <v>108</v>
      </c>
      <c r="Y666" s="3">
        <v>1</v>
      </c>
      <c r="Z666" s="3">
        <v>0</v>
      </c>
      <c r="AA666" s="3">
        <v>1</v>
      </c>
      <c r="AB666" s="3">
        <v>1</v>
      </c>
      <c r="AC666" s="3">
        <v>13</v>
      </c>
      <c r="AD666" s="3">
        <v>7</v>
      </c>
      <c r="AE666" s="3">
        <v>14</v>
      </c>
      <c r="AF666" s="3" t="s">
        <v>0</v>
      </c>
      <c r="AG666" s="3" t="s">
        <v>49</v>
      </c>
    </row>
    <row r="667" spans="1:33" ht="25.5" x14ac:dyDescent="0.2">
      <c r="A667" s="5" t="str">
        <f>HYPERLINK("http://www.patentics.cn/invokexml.do?sf=ShowPatent&amp;spn=US9148335&amp;sv=91b1c54b5a192cb92826695eb940cd6c","US9148335")</f>
        <v>US9148335</v>
      </c>
      <c r="B667" s="3" t="s">
        <v>3111</v>
      </c>
      <c r="C667" s="3" t="s">
        <v>3112</v>
      </c>
      <c r="D667" s="3" t="s">
        <v>52</v>
      </c>
      <c r="E667" s="3" t="s">
        <v>52</v>
      </c>
      <c r="F667" s="3" t="s">
        <v>3113</v>
      </c>
      <c r="G667" s="3" t="s">
        <v>3113</v>
      </c>
      <c r="H667" s="3" t="s">
        <v>2345</v>
      </c>
      <c r="I667" s="3" t="s">
        <v>2345</v>
      </c>
      <c r="J667" s="3" t="s">
        <v>248</v>
      </c>
      <c r="K667" s="3" t="s">
        <v>58</v>
      </c>
      <c r="L667" s="3" t="s">
        <v>3098</v>
      </c>
      <c r="M667" s="3" t="s">
        <v>58</v>
      </c>
      <c r="N667" s="3" t="s">
        <v>3114</v>
      </c>
      <c r="O667" s="3">
        <v>0</v>
      </c>
      <c r="P667" s="3">
        <v>27</v>
      </c>
      <c r="Q667" s="3" t="s">
        <v>60</v>
      </c>
      <c r="R667" s="3" t="s">
        <v>61</v>
      </c>
      <c r="S667" s="3">
        <v>83</v>
      </c>
      <c r="T667" s="3">
        <v>6</v>
      </c>
      <c r="U667" s="3">
        <v>77</v>
      </c>
      <c r="V667" s="3">
        <v>38</v>
      </c>
      <c r="W667" s="3">
        <v>0</v>
      </c>
      <c r="X667" s="3" t="s">
        <v>147</v>
      </c>
      <c r="Y667" s="3">
        <v>0</v>
      </c>
      <c r="Z667" s="3">
        <v>0</v>
      </c>
      <c r="AA667" s="3">
        <v>0</v>
      </c>
      <c r="AB667" s="3">
        <v>0</v>
      </c>
      <c r="AC667" s="3">
        <v>11</v>
      </c>
      <c r="AD667" s="3">
        <v>7</v>
      </c>
      <c r="AE667" s="3">
        <v>14</v>
      </c>
      <c r="AF667" s="3" t="s">
        <v>0</v>
      </c>
      <c r="AG667" s="3" t="s">
        <v>49</v>
      </c>
    </row>
    <row r="668" spans="1:33" ht="25.5" x14ac:dyDescent="0.2">
      <c r="A668" s="4" t="str">
        <f>HYPERLINK("http://www.patentics.cn/invokexml.do?sf=ShowPatent&amp;spn=CN1335695&amp;sv=19437e5e1f0a6e58238ed4086411feaa","CN1335695")</f>
        <v>CN1335695</v>
      </c>
      <c r="B668" s="2" t="s">
        <v>3115</v>
      </c>
      <c r="C668" s="2" t="s">
        <v>3116</v>
      </c>
      <c r="D668" s="2" t="s">
        <v>37</v>
      </c>
      <c r="E668" s="2" t="s">
        <v>38</v>
      </c>
      <c r="F668" s="2" t="s">
        <v>3117</v>
      </c>
      <c r="G668" s="2" t="s">
        <v>3118</v>
      </c>
      <c r="H668" s="2" t="s">
        <v>3119</v>
      </c>
      <c r="I668" s="2" t="s">
        <v>3119</v>
      </c>
      <c r="J668" s="2" t="s">
        <v>3120</v>
      </c>
      <c r="K668" s="2" t="s">
        <v>70</v>
      </c>
      <c r="L668" s="2" t="s">
        <v>3121</v>
      </c>
      <c r="M668" s="2" t="s">
        <v>84</v>
      </c>
      <c r="N668" s="2" t="s">
        <v>3122</v>
      </c>
      <c r="O668" s="2">
        <v>9</v>
      </c>
      <c r="P668" s="2">
        <v>11</v>
      </c>
      <c r="Q668" s="2" t="s">
        <v>46</v>
      </c>
      <c r="R668" s="2" t="s">
        <v>47</v>
      </c>
      <c r="S668" s="2">
        <v>1</v>
      </c>
      <c r="T668" s="2">
        <v>0</v>
      </c>
      <c r="U668" s="2">
        <v>1</v>
      </c>
      <c r="V668" s="2">
        <v>1</v>
      </c>
      <c r="W668" s="2">
        <v>17</v>
      </c>
      <c r="X668" s="2" t="s">
        <v>3123</v>
      </c>
      <c r="Y668" s="2">
        <v>3</v>
      </c>
      <c r="Z668" s="2">
        <v>14</v>
      </c>
      <c r="AA668" s="2">
        <v>10</v>
      </c>
      <c r="AB668" s="2">
        <v>4</v>
      </c>
      <c r="AC668" s="2">
        <v>1</v>
      </c>
      <c r="AD668" s="2">
        <v>1</v>
      </c>
      <c r="AE668" s="2" t="s">
        <v>0</v>
      </c>
      <c r="AF668" s="2">
        <v>4</v>
      </c>
      <c r="AG668" s="2" t="s">
        <v>755</v>
      </c>
    </row>
    <row r="669" spans="1:33" ht="51" x14ac:dyDescent="0.2">
      <c r="A669" s="5" t="str">
        <f>HYPERLINK("http://www.patentics.cn/invokexml.do?sf=ShowPatent&amp;spn=CN100394706C&amp;sv=93148c30a591f5a9cce5d2cde691af24","CN100394706C")</f>
        <v>CN100394706C</v>
      </c>
      <c r="B669" s="3" t="s">
        <v>3124</v>
      </c>
      <c r="C669" s="3" t="s">
        <v>3125</v>
      </c>
      <c r="D669" s="3" t="s">
        <v>338</v>
      </c>
      <c r="E669" s="3" t="s">
        <v>338</v>
      </c>
      <c r="F669" s="3" t="s">
        <v>3126</v>
      </c>
      <c r="G669" s="3" t="s">
        <v>3127</v>
      </c>
      <c r="H669" s="3" t="s">
        <v>3128</v>
      </c>
      <c r="I669" s="3" t="s">
        <v>3129</v>
      </c>
      <c r="J669" s="3" t="s">
        <v>3130</v>
      </c>
      <c r="K669" s="3" t="s">
        <v>84</v>
      </c>
      <c r="L669" s="3" t="s">
        <v>537</v>
      </c>
      <c r="M669" s="3" t="s">
        <v>0</v>
      </c>
      <c r="N669" s="3" t="s">
        <v>0</v>
      </c>
      <c r="O669" s="3">
        <v>21</v>
      </c>
      <c r="P669" s="3">
        <v>9</v>
      </c>
      <c r="Q669" s="3" t="s">
        <v>60</v>
      </c>
      <c r="R669" s="3" t="s">
        <v>61</v>
      </c>
      <c r="S669" s="3">
        <v>4</v>
      </c>
      <c r="T669" s="3">
        <v>0</v>
      </c>
      <c r="U669" s="3">
        <v>4</v>
      </c>
      <c r="V669" s="3">
        <v>3</v>
      </c>
      <c r="W669" s="3">
        <v>0</v>
      </c>
      <c r="X669" s="3" t="s">
        <v>147</v>
      </c>
      <c r="Y669" s="3">
        <v>0</v>
      </c>
      <c r="Z669" s="3">
        <v>0</v>
      </c>
      <c r="AA669" s="3">
        <v>0</v>
      </c>
      <c r="AB669" s="3">
        <v>0</v>
      </c>
      <c r="AC669" s="3">
        <v>6</v>
      </c>
      <c r="AD669" s="3">
        <v>5</v>
      </c>
      <c r="AE669" s="3">
        <v>14</v>
      </c>
      <c r="AF669" s="3" t="s">
        <v>0</v>
      </c>
      <c r="AG669" s="3" t="s">
        <v>49</v>
      </c>
    </row>
    <row r="670" spans="1:33" ht="38.25" x14ac:dyDescent="0.2">
      <c r="A670" s="5" t="str">
        <f>HYPERLINK("http://www.patentics.cn/invokexml.do?sf=ShowPatent&amp;spn=CN100401648C&amp;sv=6eb2d3c3ac2d75df1fb04cf064bd0857","CN100401648C")</f>
        <v>CN100401648C</v>
      </c>
      <c r="B670" s="3" t="s">
        <v>3131</v>
      </c>
      <c r="C670" s="3" t="s">
        <v>3132</v>
      </c>
      <c r="D670" s="3" t="s">
        <v>338</v>
      </c>
      <c r="E670" s="3" t="s">
        <v>338</v>
      </c>
      <c r="F670" s="3" t="s">
        <v>3133</v>
      </c>
      <c r="G670" s="3" t="s">
        <v>3134</v>
      </c>
      <c r="H670" s="3" t="s">
        <v>3135</v>
      </c>
      <c r="I670" s="3" t="s">
        <v>3136</v>
      </c>
      <c r="J670" s="3" t="s">
        <v>3137</v>
      </c>
      <c r="K670" s="3" t="s">
        <v>84</v>
      </c>
      <c r="L670" s="3" t="s">
        <v>537</v>
      </c>
      <c r="M670" s="3" t="s">
        <v>0</v>
      </c>
      <c r="N670" s="3" t="s">
        <v>0</v>
      </c>
      <c r="O670" s="3">
        <v>29</v>
      </c>
      <c r="P670" s="3">
        <v>11</v>
      </c>
      <c r="Q670" s="3" t="s">
        <v>60</v>
      </c>
      <c r="R670" s="3" t="s">
        <v>61</v>
      </c>
      <c r="S670" s="3">
        <v>5</v>
      </c>
      <c r="T670" s="3">
        <v>1</v>
      </c>
      <c r="U670" s="3">
        <v>4</v>
      </c>
      <c r="V670" s="3">
        <v>4</v>
      </c>
      <c r="W670" s="3">
        <v>0</v>
      </c>
      <c r="X670" s="3" t="s">
        <v>147</v>
      </c>
      <c r="Y670" s="3">
        <v>0</v>
      </c>
      <c r="Z670" s="3">
        <v>0</v>
      </c>
      <c r="AA670" s="3">
        <v>0</v>
      </c>
      <c r="AB670" s="3">
        <v>0</v>
      </c>
      <c r="AC670" s="3">
        <v>6</v>
      </c>
      <c r="AD670" s="3">
        <v>5</v>
      </c>
      <c r="AE670" s="3">
        <v>14</v>
      </c>
      <c r="AF670" s="3" t="s">
        <v>0</v>
      </c>
      <c r="AG670" s="3" t="s">
        <v>49</v>
      </c>
    </row>
    <row r="671" spans="1:33" x14ac:dyDescent="0.2">
      <c r="A671" s="5" t="str">
        <f>HYPERLINK("http://www.patentics.cn/invokexml.do?sf=ShowPatent&amp;spn=CN100441009C&amp;sv=9ea396fa69cf2c6d3fff6de3547d5d01","CN100441009C")</f>
        <v>CN100441009C</v>
      </c>
      <c r="B671" s="3" t="s">
        <v>3138</v>
      </c>
      <c r="C671" s="3" t="s">
        <v>3139</v>
      </c>
      <c r="D671" s="3" t="s">
        <v>338</v>
      </c>
      <c r="E671" s="3" t="s">
        <v>338</v>
      </c>
      <c r="F671" s="3" t="s">
        <v>3140</v>
      </c>
      <c r="G671" s="3" t="s">
        <v>3141</v>
      </c>
      <c r="H671" s="3" t="s">
        <v>3142</v>
      </c>
      <c r="I671" s="3" t="s">
        <v>3143</v>
      </c>
      <c r="J671" s="3" t="s">
        <v>3144</v>
      </c>
      <c r="K671" s="3" t="s">
        <v>43</v>
      </c>
      <c r="L671" s="3" t="s">
        <v>2062</v>
      </c>
      <c r="M671" s="3" t="s">
        <v>0</v>
      </c>
      <c r="N671" s="3" t="s">
        <v>0</v>
      </c>
      <c r="O671" s="3">
        <v>35</v>
      </c>
      <c r="P671" s="3">
        <v>11</v>
      </c>
      <c r="Q671" s="3" t="s">
        <v>60</v>
      </c>
      <c r="R671" s="3" t="s">
        <v>61</v>
      </c>
      <c r="S671" s="3">
        <v>2</v>
      </c>
      <c r="T671" s="3">
        <v>0</v>
      </c>
      <c r="U671" s="3">
        <v>2</v>
      </c>
      <c r="V671" s="3">
        <v>2</v>
      </c>
      <c r="W671" s="3">
        <v>36</v>
      </c>
      <c r="X671" s="3" t="s">
        <v>147</v>
      </c>
      <c r="Y671" s="3">
        <v>0</v>
      </c>
      <c r="Z671" s="3">
        <v>36</v>
      </c>
      <c r="AA671" s="3">
        <v>0</v>
      </c>
      <c r="AB671" s="3">
        <v>1</v>
      </c>
      <c r="AC671" s="3">
        <v>182</v>
      </c>
      <c r="AD671" s="3">
        <v>20</v>
      </c>
      <c r="AE671" s="3">
        <v>14</v>
      </c>
      <c r="AF671" s="3" t="s">
        <v>0</v>
      </c>
      <c r="AG671" s="3" t="s">
        <v>49</v>
      </c>
    </row>
    <row r="672" spans="1:33" ht="89.25" x14ac:dyDescent="0.2">
      <c r="A672" s="5" t="str">
        <f>HYPERLINK("http://www.patentics.cn/invokexml.do?sf=ShowPatent&amp;spn=CN100456649C&amp;sv=06b323957bf703ec9384b97ff7f7a8cb","CN100456649C")</f>
        <v>CN100456649C</v>
      </c>
      <c r="B672" s="3" t="s">
        <v>3145</v>
      </c>
      <c r="C672" s="3" t="s">
        <v>3146</v>
      </c>
      <c r="D672" s="3" t="s">
        <v>338</v>
      </c>
      <c r="E672" s="3" t="s">
        <v>338</v>
      </c>
      <c r="F672" s="3" t="s">
        <v>3147</v>
      </c>
      <c r="G672" s="3" t="s">
        <v>3148</v>
      </c>
      <c r="H672" s="3" t="s">
        <v>3149</v>
      </c>
      <c r="I672" s="3" t="s">
        <v>3150</v>
      </c>
      <c r="J672" s="3" t="s">
        <v>1092</v>
      </c>
      <c r="K672" s="3" t="s">
        <v>84</v>
      </c>
      <c r="L672" s="3" t="s">
        <v>537</v>
      </c>
      <c r="M672" s="3" t="s">
        <v>0</v>
      </c>
      <c r="N672" s="3" t="s">
        <v>0</v>
      </c>
      <c r="O672" s="3">
        <v>9</v>
      </c>
      <c r="P672" s="3">
        <v>8</v>
      </c>
      <c r="Q672" s="3" t="s">
        <v>60</v>
      </c>
      <c r="R672" s="3" t="s">
        <v>61</v>
      </c>
      <c r="S672" s="3">
        <v>6</v>
      </c>
      <c r="T672" s="3">
        <v>1</v>
      </c>
      <c r="U672" s="3">
        <v>5</v>
      </c>
      <c r="V672" s="3">
        <v>4</v>
      </c>
      <c r="W672" s="3">
        <v>0</v>
      </c>
      <c r="X672" s="3" t="s">
        <v>147</v>
      </c>
      <c r="Y672" s="3">
        <v>0</v>
      </c>
      <c r="Z672" s="3">
        <v>0</v>
      </c>
      <c r="AA672" s="3">
        <v>0</v>
      </c>
      <c r="AB672" s="3">
        <v>0</v>
      </c>
      <c r="AC672" s="3">
        <v>50</v>
      </c>
      <c r="AD672" s="3">
        <v>14</v>
      </c>
      <c r="AE672" s="3">
        <v>14</v>
      </c>
      <c r="AF672" s="3" t="s">
        <v>0</v>
      </c>
      <c r="AG672" s="3" t="s">
        <v>755</v>
      </c>
    </row>
    <row r="673" spans="1:33" ht="25.5" x14ac:dyDescent="0.2">
      <c r="A673" s="4" t="str">
        <f>HYPERLINK("http://www.patentics.cn/invokexml.do?sf=ShowPatent&amp;spn=US20120272124&amp;sv=907358a5e538fcc01688459522b70411","US20120272124")</f>
        <v>US20120272124</v>
      </c>
      <c r="B673" s="2" t="s">
        <v>3151</v>
      </c>
      <c r="C673" s="2" t="s">
        <v>3152</v>
      </c>
      <c r="D673" s="2" t="s">
        <v>346</v>
      </c>
      <c r="E673" s="2" t="s">
        <v>346</v>
      </c>
      <c r="F673" s="2" t="s">
        <v>3153</v>
      </c>
      <c r="G673" s="2" t="s">
        <v>3153</v>
      </c>
      <c r="H673" s="2" t="s">
        <v>1056</v>
      </c>
      <c r="I673" s="2" t="s">
        <v>3154</v>
      </c>
      <c r="J673" s="2" t="s">
        <v>3155</v>
      </c>
      <c r="K673" s="2" t="s">
        <v>95</v>
      </c>
      <c r="L673" s="2" t="s">
        <v>684</v>
      </c>
      <c r="M673" s="2" t="s">
        <v>0</v>
      </c>
      <c r="N673" s="2" t="s">
        <v>0</v>
      </c>
      <c r="O673" s="2">
        <v>12</v>
      </c>
      <c r="P673" s="2">
        <v>12</v>
      </c>
      <c r="Q673" s="2" t="s">
        <v>352</v>
      </c>
      <c r="R673" s="2" t="s">
        <v>47</v>
      </c>
      <c r="S673" s="2">
        <v>0</v>
      </c>
      <c r="T673" s="2">
        <v>0</v>
      </c>
      <c r="U673" s="2">
        <v>0</v>
      </c>
      <c r="V673" s="2">
        <v>0</v>
      </c>
      <c r="W673" s="2">
        <v>4</v>
      </c>
      <c r="X673" s="2" t="s">
        <v>1061</v>
      </c>
      <c r="Y673" s="2">
        <v>0</v>
      </c>
      <c r="Z673" s="2">
        <v>4</v>
      </c>
      <c r="AA673" s="2">
        <v>1</v>
      </c>
      <c r="AB673" s="2">
        <v>1</v>
      </c>
      <c r="AC673" s="2">
        <v>4</v>
      </c>
      <c r="AD673" s="2">
        <v>4</v>
      </c>
      <c r="AE673" s="2" t="s">
        <v>0</v>
      </c>
      <c r="AF673" s="2">
        <v>4</v>
      </c>
      <c r="AG673" s="2" t="s">
        <v>2231</v>
      </c>
    </row>
    <row r="674" spans="1:33" ht="102" x14ac:dyDescent="0.2">
      <c r="A674" s="5" t="str">
        <f>HYPERLINK("http://www.patentics.cn/invokexml.do?sf=ShowPatent&amp;spn=US9350484&amp;sv=c21a4538cef56773ae1f847528075ef4","US9350484")</f>
        <v>US9350484</v>
      </c>
      <c r="B674" s="3" t="s">
        <v>3156</v>
      </c>
      <c r="C674" s="3" t="s">
        <v>3157</v>
      </c>
      <c r="D674" s="3" t="s">
        <v>52</v>
      </c>
      <c r="E674" s="3" t="s">
        <v>52</v>
      </c>
      <c r="F674" s="3" t="s">
        <v>3158</v>
      </c>
      <c r="G674" s="3" t="s">
        <v>657</v>
      </c>
      <c r="H674" s="3" t="s">
        <v>1887</v>
      </c>
      <c r="I674" s="3" t="s">
        <v>1816</v>
      </c>
      <c r="J674" s="3" t="s">
        <v>1184</v>
      </c>
      <c r="K674" s="3" t="s">
        <v>58</v>
      </c>
      <c r="L674" s="3" t="s">
        <v>613</v>
      </c>
      <c r="M674" s="3" t="s">
        <v>58</v>
      </c>
      <c r="N674" s="3" t="s">
        <v>3159</v>
      </c>
      <c r="O674" s="3">
        <v>0</v>
      </c>
      <c r="P674" s="3">
        <v>19</v>
      </c>
      <c r="Q674" s="3" t="s">
        <v>60</v>
      </c>
      <c r="R674" s="3" t="s">
        <v>61</v>
      </c>
      <c r="S674" s="3">
        <v>44</v>
      </c>
      <c r="T674" s="3">
        <v>11</v>
      </c>
      <c r="U674" s="3">
        <v>33</v>
      </c>
      <c r="V674" s="3">
        <v>23</v>
      </c>
      <c r="W674" s="3">
        <v>2</v>
      </c>
      <c r="X674" s="3" t="s">
        <v>403</v>
      </c>
      <c r="Y674" s="3">
        <v>2</v>
      </c>
      <c r="Z674" s="3">
        <v>0</v>
      </c>
      <c r="AA674" s="3">
        <v>1</v>
      </c>
      <c r="AB674" s="3">
        <v>1</v>
      </c>
      <c r="AC674" s="3">
        <v>5</v>
      </c>
      <c r="AD674" s="3">
        <v>5</v>
      </c>
      <c r="AE674" s="3">
        <v>14</v>
      </c>
      <c r="AF674" s="3" t="s">
        <v>0</v>
      </c>
      <c r="AG674" s="3" t="s">
        <v>49</v>
      </c>
    </row>
    <row r="675" spans="1:33" ht="76.5" x14ac:dyDescent="0.2">
      <c r="A675" s="5" t="str">
        <f>HYPERLINK("http://www.patentics.cn/invokexml.do?sf=ShowPatent&amp;spn=US9413494&amp;sv=78ae9f4ea185b6997fc1ec8516aa5c44","US9413494")</f>
        <v>US9413494</v>
      </c>
      <c r="B675" s="3" t="s">
        <v>3160</v>
      </c>
      <c r="C675" s="3" t="s">
        <v>3161</v>
      </c>
      <c r="D675" s="3" t="s">
        <v>52</v>
      </c>
      <c r="E675" s="3" t="s">
        <v>52</v>
      </c>
      <c r="F675" s="3" t="s">
        <v>656</v>
      </c>
      <c r="G675" s="3" t="s">
        <v>657</v>
      </c>
      <c r="H675" s="3" t="s">
        <v>3162</v>
      </c>
      <c r="I675" s="3" t="s">
        <v>3163</v>
      </c>
      <c r="J675" s="3" t="s">
        <v>2276</v>
      </c>
      <c r="K675" s="3" t="s">
        <v>58</v>
      </c>
      <c r="L675" s="3" t="s">
        <v>613</v>
      </c>
      <c r="M675" s="3" t="s">
        <v>58</v>
      </c>
      <c r="N675" s="3" t="s">
        <v>1981</v>
      </c>
      <c r="O675" s="3">
        <v>0</v>
      </c>
      <c r="P675" s="3">
        <v>19</v>
      </c>
      <c r="Q675" s="3" t="s">
        <v>60</v>
      </c>
      <c r="R675" s="3" t="s">
        <v>61</v>
      </c>
      <c r="S675" s="3">
        <v>31</v>
      </c>
      <c r="T675" s="3">
        <v>13</v>
      </c>
      <c r="U675" s="3">
        <v>18</v>
      </c>
      <c r="V675" s="3">
        <v>15</v>
      </c>
      <c r="W675" s="3">
        <v>0</v>
      </c>
      <c r="X675" s="3" t="s">
        <v>147</v>
      </c>
      <c r="Y675" s="3">
        <v>0</v>
      </c>
      <c r="Z675" s="3">
        <v>0</v>
      </c>
      <c r="AA675" s="3">
        <v>0</v>
      </c>
      <c r="AB675" s="3">
        <v>0</v>
      </c>
      <c r="AC675" s="3">
        <v>6</v>
      </c>
      <c r="AD675" s="3">
        <v>6</v>
      </c>
      <c r="AE675" s="3">
        <v>14</v>
      </c>
      <c r="AF675" s="3" t="s">
        <v>0</v>
      </c>
      <c r="AG675" s="3" t="s">
        <v>49</v>
      </c>
    </row>
    <row r="676" spans="1:33" ht="102" x14ac:dyDescent="0.2">
      <c r="A676" s="5" t="str">
        <f>HYPERLINK("http://www.patentics.cn/invokexml.do?sf=ShowPatent&amp;spn=US9596281&amp;sv=563e985223dde06cbae8db102ce141fc","US9596281")</f>
        <v>US9596281</v>
      </c>
      <c r="B676" s="3" t="s">
        <v>3164</v>
      </c>
      <c r="C676" s="3" t="s">
        <v>3165</v>
      </c>
      <c r="D676" s="3" t="s">
        <v>52</v>
      </c>
      <c r="E676" s="3" t="s">
        <v>52</v>
      </c>
      <c r="F676" s="3" t="s">
        <v>3166</v>
      </c>
      <c r="G676" s="3" t="s">
        <v>657</v>
      </c>
      <c r="H676" s="3" t="s">
        <v>1887</v>
      </c>
      <c r="I676" s="3" t="s">
        <v>1816</v>
      </c>
      <c r="J676" s="3" t="s">
        <v>734</v>
      </c>
      <c r="K676" s="3" t="s">
        <v>58</v>
      </c>
      <c r="L676" s="3" t="s">
        <v>3167</v>
      </c>
      <c r="M676" s="3" t="s">
        <v>58</v>
      </c>
      <c r="N676" s="3" t="s">
        <v>660</v>
      </c>
      <c r="O676" s="3">
        <v>0</v>
      </c>
      <c r="P676" s="3">
        <v>23</v>
      </c>
      <c r="Q676" s="3" t="s">
        <v>60</v>
      </c>
      <c r="R676" s="3" t="s">
        <v>61</v>
      </c>
      <c r="S676" s="3">
        <v>46</v>
      </c>
      <c r="T676" s="3">
        <v>12</v>
      </c>
      <c r="U676" s="3">
        <v>34</v>
      </c>
      <c r="V676" s="3">
        <v>23</v>
      </c>
      <c r="W676" s="3">
        <v>0</v>
      </c>
      <c r="X676" s="3" t="s">
        <v>147</v>
      </c>
      <c r="Y676" s="3">
        <v>0</v>
      </c>
      <c r="Z676" s="3">
        <v>0</v>
      </c>
      <c r="AA676" s="3">
        <v>0</v>
      </c>
      <c r="AB676" s="3">
        <v>0</v>
      </c>
      <c r="AC676" s="3">
        <v>5</v>
      </c>
      <c r="AD676" s="3">
        <v>5</v>
      </c>
      <c r="AE676" s="3">
        <v>14</v>
      </c>
      <c r="AF676" s="3" t="s">
        <v>0</v>
      </c>
      <c r="AG676" s="3" t="s">
        <v>49</v>
      </c>
    </row>
    <row r="677" spans="1:33" ht="76.5" x14ac:dyDescent="0.2">
      <c r="A677" s="5" t="str">
        <f>HYPERLINK("http://www.patentics.cn/invokexml.do?sf=ShowPatent&amp;spn=US9596323&amp;sv=ce013b8f665e40b5896bc935fb7ce26e","US9596323")</f>
        <v>US9596323</v>
      </c>
      <c r="B677" s="3" t="s">
        <v>3168</v>
      </c>
      <c r="C677" s="3" t="s">
        <v>3169</v>
      </c>
      <c r="D677" s="3" t="s">
        <v>52</v>
      </c>
      <c r="E677" s="3" t="s">
        <v>52</v>
      </c>
      <c r="F677" s="3" t="s">
        <v>656</v>
      </c>
      <c r="G677" s="3" t="s">
        <v>657</v>
      </c>
      <c r="H677" s="3" t="s">
        <v>1887</v>
      </c>
      <c r="I677" s="3" t="s">
        <v>1816</v>
      </c>
      <c r="J677" s="3" t="s">
        <v>734</v>
      </c>
      <c r="K677" s="3" t="s">
        <v>58</v>
      </c>
      <c r="L677" s="3" t="s">
        <v>722</v>
      </c>
      <c r="M677" s="3" t="s">
        <v>58</v>
      </c>
      <c r="N677" s="3" t="s">
        <v>1263</v>
      </c>
      <c r="O677" s="3">
        <v>0</v>
      </c>
      <c r="P677" s="3">
        <v>17</v>
      </c>
      <c r="Q677" s="3" t="s">
        <v>60</v>
      </c>
      <c r="R677" s="3" t="s">
        <v>61</v>
      </c>
      <c r="S677" s="3">
        <v>46</v>
      </c>
      <c r="T677" s="3">
        <v>11</v>
      </c>
      <c r="U677" s="3">
        <v>35</v>
      </c>
      <c r="V677" s="3">
        <v>24</v>
      </c>
      <c r="W677" s="3">
        <v>0</v>
      </c>
      <c r="X677" s="3" t="s">
        <v>147</v>
      </c>
      <c r="Y677" s="3">
        <v>0</v>
      </c>
      <c r="Z677" s="3">
        <v>0</v>
      </c>
      <c r="AA677" s="3">
        <v>0</v>
      </c>
      <c r="AB677" s="3">
        <v>0</v>
      </c>
      <c r="AC677" s="3">
        <v>3</v>
      </c>
      <c r="AD677" s="3">
        <v>3</v>
      </c>
      <c r="AE677" s="3">
        <v>14</v>
      </c>
      <c r="AF677" s="3" t="s">
        <v>0</v>
      </c>
      <c r="AG677" s="3" t="s">
        <v>49</v>
      </c>
    </row>
    <row r="678" spans="1:33" ht="63.75" x14ac:dyDescent="0.2">
      <c r="A678" s="4" t="str">
        <f>HYPERLINK("http://www.patentics.cn/invokexml.do?sf=ShowPatent&amp;spn=US20120263052&amp;sv=09ff275f1e0c454be699d8a57f3ebffa","US20120263052")</f>
        <v>US20120263052</v>
      </c>
      <c r="B678" s="2" t="s">
        <v>3170</v>
      </c>
      <c r="C678" s="2" t="s">
        <v>3171</v>
      </c>
      <c r="D678" s="2" t="s">
        <v>346</v>
      </c>
      <c r="E678" s="2" t="s">
        <v>346</v>
      </c>
      <c r="F678" s="2" t="s">
        <v>3172</v>
      </c>
      <c r="G678" s="2" t="s">
        <v>3173</v>
      </c>
      <c r="H678" s="2" t="s">
        <v>3174</v>
      </c>
      <c r="I678" s="2" t="s">
        <v>3175</v>
      </c>
      <c r="J678" s="2" t="s">
        <v>3176</v>
      </c>
      <c r="K678" s="2" t="s">
        <v>82</v>
      </c>
      <c r="L678" s="2" t="s">
        <v>806</v>
      </c>
      <c r="M678" s="2" t="s">
        <v>0</v>
      </c>
      <c r="N678" s="2" t="s">
        <v>0</v>
      </c>
      <c r="O678" s="2">
        <v>16</v>
      </c>
      <c r="P678" s="2">
        <v>31</v>
      </c>
      <c r="Q678" s="2" t="s">
        <v>352</v>
      </c>
      <c r="R678" s="2" t="s">
        <v>47</v>
      </c>
      <c r="S678" s="2">
        <v>0</v>
      </c>
      <c r="T678" s="2">
        <v>0</v>
      </c>
      <c r="U678" s="2">
        <v>0</v>
      </c>
      <c r="V678" s="2">
        <v>0</v>
      </c>
      <c r="W678" s="2">
        <v>16</v>
      </c>
      <c r="X678" s="2" t="s">
        <v>3177</v>
      </c>
      <c r="Y678" s="2">
        <v>0</v>
      </c>
      <c r="Z678" s="2">
        <v>16</v>
      </c>
      <c r="AA678" s="2">
        <v>3</v>
      </c>
      <c r="AB678" s="2">
        <v>2</v>
      </c>
      <c r="AC678" s="2">
        <v>12</v>
      </c>
      <c r="AD678" s="2">
        <v>8</v>
      </c>
      <c r="AE678" s="2" t="s">
        <v>0</v>
      </c>
      <c r="AF678" s="2">
        <v>4</v>
      </c>
      <c r="AG678" s="2" t="s">
        <v>49</v>
      </c>
    </row>
    <row r="679" spans="1:33" ht="204" x14ac:dyDescent="0.2">
      <c r="A679" s="5" t="str">
        <f>HYPERLINK("http://www.patentics.cn/invokexml.do?sf=ShowPatent&amp;spn=US9106419&amp;sv=d67199634e7778648cedcea54d62f631","US9106419")</f>
        <v>US9106419</v>
      </c>
      <c r="B679" s="3" t="s">
        <v>3178</v>
      </c>
      <c r="C679" s="3" t="s">
        <v>3179</v>
      </c>
      <c r="D679" s="3" t="s">
        <v>52</v>
      </c>
      <c r="E679" s="3" t="s">
        <v>52</v>
      </c>
      <c r="F679" s="3" t="s">
        <v>3180</v>
      </c>
      <c r="G679" s="3" t="s">
        <v>1091</v>
      </c>
      <c r="H679" s="3" t="s">
        <v>3181</v>
      </c>
      <c r="I679" s="3" t="s">
        <v>3182</v>
      </c>
      <c r="J679" s="3" t="s">
        <v>927</v>
      </c>
      <c r="K679" s="3" t="s">
        <v>82</v>
      </c>
      <c r="L679" s="3" t="s">
        <v>244</v>
      </c>
      <c r="M679" s="3" t="s">
        <v>0</v>
      </c>
      <c r="N679" s="3" t="s">
        <v>0</v>
      </c>
      <c r="O679" s="3">
        <v>0</v>
      </c>
      <c r="P679" s="3">
        <v>11</v>
      </c>
      <c r="Q679" s="3" t="s">
        <v>60</v>
      </c>
      <c r="R679" s="3" t="s">
        <v>61</v>
      </c>
      <c r="S679" s="3">
        <v>22</v>
      </c>
      <c r="T679" s="3">
        <v>2</v>
      </c>
      <c r="U679" s="3">
        <v>20</v>
      </c>
      <c r="V679" s="3">
        <v>11</v>
      </c>
      <c r="W679" s="3">
        <v>8</v>
      </c>
      <c r="X679" s="3" t="s">
        <v>147</v>
      </c>
      <c r="Y679" s="3">
        <v>0</v>
      </c>
      <c r="Z679" s="3">
        <v>8</v>
      </c>
      <c r="AA679" s="3">
        <v>0</v>
      </c>
      <c r="AB679" s="3">
        <v>1</v>
      </c>
      <c r="AC679" s="3">
        <v>22</v>
      </c>
      <c r="AD679" s="3">
        <v>7</v>
      </c>
      <c r="AE679" s="3">
        <v>14</v>
      </c>
      <c r="AF679" s="3" t="s">
        <v>0</v>
      </c>
      <c r="AG679" s="3" t="s">
        <v>49</v>
      </c>
    </row>
    <row r="680" spans="1:33" ht="204" x14ac:dyDescent="0.2">
      <c r="A680" s="5" t="str">
        <f>HYPERLINK("http://www.patentics.cn/invokexml.do?sf=ShowPatent&amp;spn=US9112692&amp;sv=1cb55b10edfcbf6886f38a751840d006","US9112692")</f>
        <v>US9112692</v>
      </c>
      <c r="B680" s="3" t="s">
        <v>3183</v>
      </c>
      <c r="C680" s="3" t="s">
        <v>3184</v>
      </c>
      <c r="D680" s="3" t="s">
        <v>52</v>
      </c>
      <c r="E680" s="3" t="s">
        <v>52</v>
      </c>
      <c r="F680" s="3" t="s">
        <v>3180</v>
      </c>
      <c r="G680" s="3" t="s">
        <v>1091</v>
      </c>
      <c r="H680" s="3" t="s">
        <v>3181</v>
      </c>
      <c r="I680" s="3" t="s">
        <v>3182</v>
      </c>
      <c r="J680" s="3" t="s">
        <v>2440</v>
      </c>
      <c r="K680" s="3" t="s">
        <v>82</v>
      </c>
      <c r="L680" s="3" t="s">
        <v>862</v>
      </c>
      <c r="M680" s="3" t="s">
        <v>0</v>
      </c>
      <c r="N680" s="3" t="s">
        <v>0</v>
      </c>
      <c r="O680" s="3">
        <v>0</v>
      </c>
      <c r="P680" s="3">
        <v>20</v>
      </c>
      <c r="Q680" s="3" t="s">
        <v>60</v>
      </c>
      <c r="R680" s="3" t="s">
        <v>61</v>
      </c>
      <c r="S680" s="3">
        <v>22</v>
      </c>
      <c r="T680" s="3">
        <v>2</v>
      </c>
      <c r="U680" s="3">
        <v>20</v>
      </c>
      <c r="V680" s="3">
        <v>11</v>
      </c>
      <c r="W680" s="3">
        <v>10</v>
      </c>
      <c r="X680" s="3" t="s">
        <v>3185</v>
      </c>
      <c r="Y680" s="3">
        <v>1</v>
      </c>
      <c r="Z680" s="3">
        <v>9</v>
      </c>
      <c r="AA680" s="3">
        <v>2</v>
      </c>
      <c r="AB680" s="3">
        <v>2</v>
      </c>
      <c r="AC680" s="3">
        <v>22</v>
      </c>
      <c r="AD680" s="3">
        <v>7</v>
      </c>
      <c r="AE680" s="3">
        <v>14</v>
      </c>
      <c r="AF680" s="3" t="s">
        <v>0</v>
      </c>
      <c r="AG680" s="3" t="s">
        <v>49</v>
      </c>
    </row>
    <row r="681" spans="1:33" ht="51" x14ac:dyDescent="0.2">
      <c r="A681" s="5" t="str">
        <f>HYPERLINK("http://www.patentics.cn/invokexml.do?sf=ShowPatent&amp;spn=US9338773&amp;sv=46041fd05e98af51920f06bc376150c2","US9338773")</f>
        <v>US9338773</v>
      </c>
      <c r="B681" s="3" t="s">
        <v>3186</v>
      </c>
      <c r="C681" s="3" t="s">
        <v>3187</v>
      </c>
      <c r="D681" s="3" t="s">
        <v>52</v>
      </c>
      <c r="E681" s="3" t="s">
        <v>52</v>
      </c>
      <c r="F681" s="3" t="s">
        <v>3188</v>
      </c>
      <c r="G681" s="3" t="s">
        <v>924</v>
      </c>
      <c r="H681" s="3" t="s">
        <v>694</v>
      </c>
      <c r="I681" s="3" t="s">
        <v>1081</v>
      </c>
      <c r="J681" s="3" t="s">
        <v>840</v>
      </c>
      <c r="K681" s="3" t="s">
        <v>82</v>
      </c>
      <c r="L681" s="3" t="s">
        <v>244</v>
      </c>
      <c r="M681" s="3" t="s">
        <v>82</v>
      </c>
      <c r="N681" s="3" t="s">
        <v>1185</v>
      </c>
      <c r="O681" s="3">
        <v>0</v>
      </c>
      <c r="P681" s="3">
        <v>12</v>
      </c>
      <c r="Q681" s="3" t="s">
        <v>60</v>
      </c>
      <c r="R681" s="3" t="s">
        <v>61</v>
      </c>
      <c r="S681" s="3">
        <v>25</v>
      </c>
      <c r="T681" s="3">
        <v>3</v>
      </c>
      <c r="U681" s="3">
        <v>22</v>
      </c>
      <c r="V681" s="3">
        <v>14</v>
      </c>
      <c r="W681" s="3">
        <v>0</v>
      </c>
      <c r="X681" s="3" t="s">
        <v>147</v>
      </c>
      <c r="Y681" s="3">
        <v>0</v>
      </c>
      <c r="Z681" s="3">
        <v>0</v>
      </c>
      <c r="AA681" s="3">
        <v>0</v>
      </c>
      <c r="AB681" s="3">
        <v>0</v>
      </c>
      <c r="AC681" s="3">
        <v>5</v>
      </c>
      <c r="AD681" s="3">
        <v>5</v>
      </c>
      <c r="AE681" s="3">
        <v>14</v>
      </c>
      <c r="AF681" s="3" t="s">
        <v>0</v>
      </c>
      <c r="AG681" s="3" t="s">
        <v>49</v>
      </c>
    </row>
    <row r="682" spans="1:33" ht="191.25" x14ac:dyDescent="0.2">
      <c r="A682" s="5" t="str">
        <f>HYPERLINK("http://www.patentics.cn/invokexml.do?sf=ShowPatent&amp;spn=US9591662&amp;sv=43a6bafb84c2fdce1c2915a5c96da4ba","US9591662")</f>
        <v>US9591662</v>
      </c>
      <c r="B682" s="3" t="s">
        <v>3189</v>
      </c>
      <c r="C682" s="3" t="s">
        <v>3184</v>
      </c>
      <c r="D682" s="3" t="s">
        <v>52</v>
      </c>
      <c r="E682" s="3" t="s">
        <v>52</v>
      </c>
      <c r="F682" s="3" t="s">
        <v>3190</v>
      </c>
      <c r="G682" s="3" t="s">
        <v>1091</v>
      </c>
      <c r="H682" s="3" t="s">
        <v>3181</v>
      </c>
      <c r="I682" s="3" t="s">
        <v>3191</v>
      </c>
      <c r="J682" s="3" t="s">
        <v>2406</v>
      </c>
      <c r="K682" s="3" t="s">
        <v>82</v>
      </c>
      <c r="L682" s="3" t="s">
        <v>244</v>
      </c>
      <c r="M682" s="3" t="s">
        <v>82</v>
      </c>
      <c r="N682" s="3" t="s">
        <v>764</v>
      </c>
      <c r="O682" s="3">
        <v>0</v>
      </c>
      <c r="P682" s="3">
        <v>14</v>
      </c>
      <c r="Q682" s="3" t="s">
        <v>60</v>
      </c>
      <c r="R682" s="3" t="s">
        <v>61</v>
      </c>
      <c r="S682" s="3">
        <v>27</v>
      </c>
      <c r="T682" s="3">
        <v>4</v>
      </c>
      <c r="U682" s="3">
        <v>23</v>
      </c>
      <c r="V682" s="3">
        <v>11</v>
      </c>
      <c r="W682" s="3">
        <v>0</v>
      </c>
      <c r="X682" s="3" t="s">
        <v>147</v>
      </c>
      <c r="Y682" s="3">
        <v>0</v>
      </c>
      <c r="Z682" s="3">
        <v>0</v>
      </c>
      <c r="AA682" s="3">
        <v>0</v>
      </c>
      <c r="AB682" s="3">
        <v>0</v>
      </c>
      <c r="AC682" s="3">
        <v>22</v>
      </c>
      <c r="AD682" s="3">
        <v>7</v>
      </c>
      <c r="AE682" s="3">
        <v>14</v>
      </c>
      <c r="AF682" s="3" t="s">
        <v>0</v>
      </c>
      <c r="AG682" s="3" t="s">
        <v>49</v>
      </c>
    </row>
    <row r="683" spans="1:33" ht="38.25" x14ac:dyDescent="0.2">
      <c r="A683" s="4" t="str">
        <f>HYPERLINK("http://www.patentics.cn/invokexml.do?sf=ShowPatent&amp;spn=US20120172036&amp;sv=b6a54ac4d4e9a24cf97705f91dc37826","US20120172036")</f>
        <v>US20120172036</v>
      </c>
      <c r="B683" s="2" t="s">
        <v>3192</v>
      </c>
      <c r="C683" s="2" t="s">
        <v>3193</v>
      </c>
      <c r="D683" s="2" t="s">
        <v>346</v>
      </c>
      <c r="E683" s="2" t="s">
        <v>346</v>
      </c>
      <c r="F683" s="2" t="s">
        <v>3194</v>
      </c>
      <c r="G683" s="2" t="s">
        <v>3194</v>
      </c>
      <c r="H683" s="2" t="s">
        <v>3195</v>
      </c>
      <c r="I683" s="2" t="s">
        <v>3196</v>
      </c>
      <c r="J683" s="2" t="s">
        <v>3197</v>
      </c>
      <c r="K683" s="2" t="s">
        <v>82</v>
      </c>
      <c r="L683" s="2" t="s">
        <v>177</v>
      </c>
      <c r="M683" s="2" t="s">
        <v>0</v>
      </c>
      <c r="N683" s="2" t="s">
        <v>0</v>
      </c>
      <c r="O683" s="2">
        <v>20</v>
      </c>
      <c r="P683" s="2">
        <v>20</v>
      </c>
      <c r="Q683" s="2" t="s">
        <v>352</v>
      </c>
      <c r="R683" s="2" t="s">
        <v>61</v>
      </c>
      <c r="S683" s="2">
        <v>0</v>
      </c>
      <c r="T683" s="2">
        <v>0</v>
      </c>
      <c r="U683" s="2">
        <v>0</v>
      </c>
      <c r="V683" s="2">
        <v>0</v>
      </c>
      <c r="W683" s="2">
        <v>5</v>
      </c>
      <c r="X683" s="2" t="s">
        <v>1756</v>
      </c>
      <c r="Y683" s="2">
        <v>0</v>
      </c>
      <c r="Z683" s="2">
        <v>5</v>
      </c>
      <c r="AA683" s="2">
        <v>2</v>
      </c>
      <c r="AB683" s="2">
        <v>1</v>
      </c>
      <c r="AC683" s="2">
        <v>7</v>
      </c>
      <c r="AD683" s="2">
        <v>4</v>
      </c>
      <c r="AE683" s="2" t="s">
        <v>0</v>
      </c>
      <c r="AF683" s="2">
        <v>4</v>
      </c>
      <c r="AG683" s="2" t="s">
        <v>49</v>
      </c>
    </row>
    <row r="684" spans="1:33" ht="51" x14ac:dyDescent="0.2">
      <c r="A684" s="5" t="str">
        <f>HYPERLINK("http://www.patentics.cn/invokexml.do?sf=ShowPatent&amp;spn=US8837405&amp;sv=c1ef31fc4030820bb483b1a69a173e65","US8837405")</f>
        <v>US8837405</v>
      </c>
      <c r="B684" s="3" t="s">
        <v>3198</v>
      </c>
      <c r="C684" s="3" t="s">
        <v>3199</v>
      </c>
      <c r="D684" s="3" t="s">
        <v>52</v>
      </c>
      <c r="E684" s="3" t="s">
        <v>52</v>
      </c>
      <c r="F684" s="3" t="s">
        <v>3200</v>
      </c>
      <c r="G684" s="3" t="s">
        <v>3201</v>
      </c>
      <c r="H684" s="3" t="s">
        <v>3202</v>
      </c>
      <c r="I684" s="3" t="s">
        <v>2810</v>
      </c>
      <c r="J684" s="3" t="s">
        <v>1045</v>
      </c>
      <c r="K684" s="3" t="s">
        <v>43</v>
      </c>
      <c r="L684" s="3" t="s">
        <v>57</v>
      </c>
      <c r="M684" s="3" t="s">
        <v>82</v>
      </c>
      <c r="N684" s="3" t="s">
        <v>1537</v>
      </c>
      <c r="O684" s="3">
        <v>0</v>
      </c>
      <c r="P684" s="3">
        <v>10</v>
      </c>
      <c r="Q684" s="3" t="s">
        <v>60</v>
      </c>
      <c r="R684" s="3" t="s">
        <v>61</v>
      </c>
      <c r="S684" s="3">
        <v>23</v>
      </c>
      <c r="T684" s="3">
        <v>5</v>
      </c>
      <c r="U684" s="3">
        <v>18</v>
      </c>
      <c r="V684" s="3">
        <v>9</v>
      </c>
      <c r="W684" s="3">
        <v>0</v>
      </c>
      <c r="X684" s="3" t="s">
        <v>147</v>
      </c>
      <c r="Y684" s="3">
        <v>0</v>
      </c>
      <c r="Z684" s="3">
        <v>0</v>
      </c>
      <c r="AA684" s="3">
        <v>0</v>
      </c>
      <c r="AB684" s="3">
        <v>0</v>
      </c>
      <c r="AC684" s="3">
        <v>6</v>
      </c>
      <c r="AD684" s="3">
        <v>6</v>
      </c>
      <c r="AE684" s="3">
        <v>14</v>
      </c>
      <c r="AF684" s="3" t="s">
        <v>0</v>
      </c>
      <c r="AG684" s="3" t="s">
        <v>49</v>
      </c>
    </row>
    <row r="685" spans="1:33" ht="51" x14ac:dyDescent="0.2">
      <c r="A685" s="5" t="str">
        <f>HYPERLINK("http://www.patentics.cn/invokexml.do?sf=ShowPatent&amp;spn=US9357430&amp;sv=19994ca6d2fc4f66de52d153d2ec675d","US9357430")</f>
        <v>US9357430</v>
      </c>
      <c r="B685" s="3" t="s">
        <v>3203</v>
      </c>
      <c r="C685" s="3" t="s">
        <v>3204</v>
      </c>
      <c r="D685" s="3" t="s">
        <v>52</v>
      </c>
      <c r="E685" s="3" t="s">
        <v>52</v>
      </c>
      <c r="F685" s="3" t="s">
        <v>3205</v>
      </c>
      <c r="G685" s="3" t="s">
        <v>3206</v>
      </c>
      <c r="H685" s="3" t="s">
        <v>1412</v>
      </c>
      <c r="I685" s="3" t="s">
        <v>1714</v>
      </c>
      <c r="J685" s="3" t="s">
        <v>1366</v>
      </c>
      <c r="K685" s="3" t="s">
        <v>82</v>
      </c>
      <c r="L685" s="3" t="s">
        <v>3207</v>
      </c>
      <c r="M685" s="3" t="s">
        <v>82</v>
      </c>
      <c r="N685" s="3" t="s">
        <v>3208</v>
      </c>
      <c r="O685" s="3">
        <v>0</v>
      </c>
      <c r="P685" s="3">
        <v>20</v>
      </c>
      <c r="Q685" s="3" t="s">
        <v>60</v>
      </c>
      <c r="R685" s="3" t="s">
        <v>61</v>
      </c>
      <c r="S685" s="3">
        <v>32</v>
      </c>
      <c r="T685" s="3">
        <v>5</v>
      </c>
      <c r="U685" s="3">
        <v>27</v>
      </c>
      <c r="V685" s="3">
        <v>12</v>
      </c>
      <c r="W685" s="3">
        <v>0</v>
      </c>
      <c r="X685" s="3" t="s">
        <v>147</v>
      </c>
      <c r="Y685" s="3">
        <v>0</v>
      </c>
      <c r="Z685" s="3">
        <v>0</v>
      </c>
      <c r="AA685" s="3">
        <v>0</v>
      </c>
      <c r="AB685" s="3">
        <v>0</v>
      </c>
      <c r="AC685" s="3">
        <v>15</v>
      </c>
      <c r="AD685" s="3">
        <v>6</v>
      </c>
      <c r="AE685" s="3">
        <v>14</v>
      </c>
      <c r="AF685" s="3" t="s">
        <v>0</v>
      </c>
      <c r="AG685" s="3" t="s">
        <v>49</v>
      </c>
    </row>
    <row r="686" spans="1:33" ht="51" x14ac:dyDescent="0.2">
      <c r="A686" s="5" t="str">
        <f>HYPERLINK("http://www.patentics.cn/invokexml.do?sf=ShowPatent&amp;spn=US9462565&amp;sv=b984c9f9f9962b627c69732a645fe7b9","US9462565")</f>
        <v>US9462565</v>
      </c>
      <c r="B686" s="3" t="s">
        <v>3209</v>
      </c>
      <c r="C686" s="3" t="s">
        <v>3210</v>
      </c>
      <c r="D686" s="3" t="s">
        <v>52</v>
      </c>
      <c r="E686" s="3" t="s">
        <v>52</v>
      </c>
      <c r="F686" s="3" t="s">
        <v>3211</v>
      </c>
      <c r="G686" s="3" t="s">
        <v>3206</v>
      </c>
      <c r="H686" s="3" t="s">
        <v>3212</v>
      </c>
      <c r="I686" s="3" t="s">
        <v>3213</v>
      </c>
      <c r="J686" s="3" t="s">
        <v>329</v>
      </c>
      <c r="K686" s="3" t="s">
        <v>82</v>
      </c>
      <c r="L686" s="3" t="s">
        <v>83</v>
      </c>
      <c r="M686" s="3" t="s">
        <v>82</v>
      </c>
      <c r="N686" s="3" t="s">
        <v>3214</v>
      </c>
      <c r="O686" s="3">
        <v>0</v>
      </c>
      <c r="P686" s="3">
        <v>15</v>
      </c>
      <c r="Q686" s="3" t="s">
        <v>60</v>
      </c>
      <c r="R686" s="3" t="s">
        <v>61</v>
      </c>
      <c r="S686" s="3">
        <v>10</v>
      </c>
      <c r="T686" s="3">
        <v>2</v>
      </c>
      <c r="U686" s="3">
        <v>8</v>
      </c>
      <c r="V686" s="3">
        <v>8</v>
      </c>
      <c r="W686" s="3">
        <v>0</v>
      </c>
      <c r="X686" s="3" t="s">
        <v>147</v>
      </c>
      <c r="Y686" s="3">
        <v>0</v>
      </c>
      <c r="Z686" s="3">
        <v>0</v>
      </c>
      <c r="AA686" s="3">
        <v>0</v>
      </c>
      <c r="AB686" s="3">
        <v>0</v>
      </c>
      <c r="AC686" s="3">
        <v>1</v>
      </c>
      <c r="AD686" s="3">
        <v>1</v>
      </c>
      <c r="AE686" s="3">
        <v>14</v>
      </c>
      <c r="AF686" s="3" t="s">
        <v>0</v>
      </c>
      <c r="AG686" s="3" t="s">
        <v>49</v>
      </c>
    </row>
    <row r="687" spans="1:33" ht="51" x14ac:dyDescent="0.2">
      <c r="A687" s="5" t="str">
        <f>HYPERLINK("http://www.patentics.cn/invokexml.do?sf=ShowPatent&amp;spn=US9473977&amp;sv=576744f38e7612f603448c4e9389c043","US9473977")</f>
        <v>US9473977</v>
      </c>
      <c r="B687" s="3" t="s">
        <v>3215</v>
      </c>
      <c r="C687" s="3" t="s">
        <v>3216</v>
      </c>
      <c r="D687" s="3" t="s">
        <v>52</v>
      </c>
      <c r="E687" s="3" t="s">
        <v>52</v>
      </c>
      <c r="F687" s="3" t="s">
        <v>3205</v>
      </c>
      <c r="G687" s="3" t="s">
        <v>3206</v>
      </c>
      <c r="H687" s="3" t="s">
        <v>1412</v>
      </c>
      <c r="I687" s="3" t="s">
        <v>3217</v>
      </c>
      <c r="J687" s="3" t="s">
        <v>528</v>
      </c>
      <c r="K687" s="3" t="s">
        <v>82</v>
      </c>
      <c r="L687" s="3" t="s">
        <v>3207</v>
      </c>
      <c r="M687" s="3" t="s">
        <v>82</v>
      </c>
      <c r="N687" s="3" t="s">
        <v>3208</v>
      </c>
      <c r="O687" s="3">
        <v>0</v>
      </c>
      <c r="P687" s="3">
        <v>22</v>
      </c>
      <c r="Q687" s="3" t="s">
        <v>60</v>
      </c>
      <c r="R687" s="3" t="s">
        <v>61</v>
      </c>
      <c r="S687" s="3">
        <v>36</v>
      </c>
      <c r="T687" s="3">
        <v>6</v>
      </c>
      <c r="U687" s="3">
        <v>30</v>
      </c>
      <c r="V687" s="3">
        <v>14</v>
      </c>
      <c r="W687" s="3">
        <v>0</v>
      </c>
      <c r="X687" s="3" t="s">
        <v>147</v>
      </c>
      <c r="Y687" s="3">
        <v>0</v>
      </c>
      <c r="Z687" s="3">
        <v>0</v>
      </c>
      <c r="AA687" s="3">
        <v>0</v>
      </c>
      <c r="AB687" s="3">
        <v>0</v>
      </c>
      <c r="AC687" s="3">
        <v>15</v>
      </c>
      <c r="AD687" s="3">
        <v>6</v>
      </c>
      <c r="AE687" s="3">
        <v>14</v>
      </c>
      <c r="AF687" s="3" t="s">
        <v>0</v>
      </c>
      <c r="AG687" s="3" t="s">
        <v>49</v>
      </c>
    </row>
    <row r="688" spans="1:33" ht="51" x14ac:dyDescent="0.2">
      <c r="A688" s="4" t="str">
        <f>HYPERLINK("http://www.patentics.cn/invokexml.do?sf=ShowPatent&amp;spn=US20120039305&amp;sv=73dff738929ef3281e01e378b48507ad","US20120039305")</f>
        <v>US20120039305</v>
      </c>
      <c r="B688" s="2" t="s">
        <v>3218</v>
      </c>
      <c r="C688" s="2" t="s">
        <v>3219</v>
      </c>
      <c r="D688" s="2" t="s">
        <v>346</v>
      </c>
      <c r="E688" s="2" t="s">
        <v>346</v>
      </c>
      <c r="F688" s="2" t="s">
        <v>3220</v>
      </c>
      <c r="G688" s="2" t="s">
        <v>3221</v>
      </c>
      <c r="H688" s="2" t="s">
        <v>3222</v>
      </c>
      <c r="I688" s="2" t="s">
        <v>3223</v>
      </c>
      <c r="J688" s="2" t="s">
        <v>2810</v>
      </c>
      <c r="K688" s="2" t="s">
        <v>82</v>
      </c>
      <c r="L688" s="2" t="s">
        <v>2371</v>
      </c>
      <c r="M688" s="2" t="s">
        <v>0</v>
      </c>
      <c r="N688" s="2" t="s">
        <v>0</v>
      </c>
      <c r="O688" s="2">
        <v>12</v>
      </c>
      <c r="P688" s="2">
        <v>12</v>
      </c>
      <c r="Q688" s="2" t="s">
        <v>352</v>
      </c>
      <c r="R688" s="2" t="s">
        <v>47</v>
      </c>
      <c r="S688" s="2">
        <v>0</v>
      </c>
      <c r="T688" s="2">
        <v>0</v>
      </c>
      <c r="U688" s="2">
        <v>0</v>
      </c>
      <c r="V688" s="2">
        <v>0</v>
      </c>
      <c r="W688" s="2">
        <v>11</v>
      </c>
      <c r="X688" s="2" t="s">
        <v>3224</v>
      </c>
      <c r="Y688" s="2">
        <v>0</v>
      </c>
      <c r="Z688" s="2">
        <v>11</v>
      </c>
      <c r="AA688" s="2">
        <v>5</v>
      </c>
      <c r="AB688" s="2">
        <v>2</v>
      </c>
      <c r="AC688" s="2">
        <v>7</v>
      </c>
      <c r="AD688" s="2">
        <v>5</v>
      </c>
      <c r="AE688" s="2" t="s">
        <v>0</v>
      </c>
      <c r="AF688" s="2">
        <v>4</v>
      </c>
      <c r="AG688" s="2" t="s">
        <v>49</v>
      </c>
    </row>
    <row r="689" spans="1:33" ht="153" x14ac:dyDescent="0.2">
      <c r="A689" s="5" t="str">
        <f>HYPERLINK("http://www.patentics.cn/invokexml.do?sf=ShowPatent&amp;spn=US9351304&amp;sv=733398e03133dcc8ce36a4f086757580","US9351304")</f>
        <v>US9351304</v>
      </c>
      <c r="B689" s="3" t="s">
        <v>2271</v>
      </c>
      <c r="C689" s="3" t="s">
        <v>2272</v>
      </c>
      <c r="D689" s="3" t="s">
        <v>52</v>
      </c>
      <c r="E689" s="3" t="s">
        <v>52</v>
      </c>
      <c r="F689" s="3" t="s">
        <v>2273</v>
      </c>
      <c r="G689" s="3" t="s">
        <v>2274</v>
      </c>
      <c r="H689" s="3" t="s">
        <v>0</v>
      </c>
      <c r="I689" s="3" t="s">
        <v>2275</v>
      </c>
      <c r="J689" s="3" t="s">
        <v>1184</v>
      </c>
      <c r="K689" s="3" t="s">
        <v>82</v>
      </c>
      <c r="L689" s="3" t="s">
        <v>862</v>
      </c>
      <c r="M689" s="3" t="s">
        <v>82</v>
      </c>
      <c r="N689" s="3" t="s">
        <v>2168</v>
      </c>
      <c r="O689" s="3">
        <v>0</v>
      </c>
      <c r="P689" s="3">
        <v>12</v>
      </c>
      <c r="Q689" s="3" t="s">
        <v>60</v>
      </c>
      <c r="R689" s="3" t="s">
        <v>61</v>
      </c>
      <c r="S689" s="3">
        <v>92</v>
      </c>
      <c r="T689" s="3">
        <v>10</v>
      </c>
      <c r="U689" s="3">
        <v>82</v>
      </c>
      <c r="V689" s="3">
        <v>40</v>
      </c>
      <c r="W689" s="3">
        <v>0</v>
      </c>
      <c r="X689" s="3" t="s">
        <v>147</v>
      </c>
      <c r="Y689" s="3">
        <v>0</v>
      </c>
      <c r="Z689" s="3">
        <v>0</v>
      </c>
      <c r="AA689" s="3">
        <v>0</v>
      </c>
      <c r="AB689" s="3">
        <v>0</v>
      </c>
      <c r="AC689" s="3">
        <v>0</v>
      </c>
      <c r="AD689" s="3">
        <v>0</v>
      </c>
      <c r="AE689" s="3">
        <v>14</v>
      </c>
      <c r="AF689" s="3" t="s">
        <v>0</v>
      </c>
      <c r="AG689" s="3" t="s">
        <v>49</v>
      </c>
    </row>
    <row r="690" spans="1:33" ht="153" x14ac:dyDescent="0.2">
      <c r="A690" s="5" t="str">
        <f>HYPERLINK("http://www.patentics.cn/invokexml.do?sf=ShowPatent&amp;spn=US9414389&amp;sv=f0bc4c0045239ce7311087c8a1c97374","US9414389")</f>
        <v>US9414389</v>
      </c>
      <c r="B690" s="3" t="s">
        <v>2271</v>
      </c>
      <c r="C690" s="3" t="s">
        <v>2272</v>
      </c>
      <c r="D690" s="3" t="s">
        <v>52</v>
      </c>
      <c r="E690" s="3" t="s">
        <v>52</v>
      </c>
      <c r="F690" s="3" t="s">
        <v>2273</v>
      </c>
      <c r="G690" s="3" t="s">
        <v>2274</v>
      </c>
      <c r="H690" s="3" t="s">
        <v>0</v>
      </c>
      <c r="I690" s="3" t="s">
        <v>2275</v>
      </c>
      <c r="J690" s="3" t="s">
        <v>2276</v>
      </c>
      <c r="K690" s="3" t="s">
        <v>82</v>
      </c>
      <c r="L690" s="3" t="s">
        <v>862</v>
      </c>
      <c r="M690" s="3" t="s">
        <v>82</v>
      </c>
      <c r="N690" s="3" t="s">
        <v>2168</v>
      </c>
      <c r="O690" s="3">
        <v>0</v>
      </c>
      <c r="P690" s="3">
        <v>12</v>
      </c>
      <c r="Q690" s="3" t="s">
        <v>60</v>
      </c>
      <c r="R690" s="3" t="s">
        <v>61</v>
      </c>
      <c r="S690" s="3">
        <v>101</v>
      </c>
      <c r="T690" s="3">
        <v>10</v>
      </c>
      <c r="U690" s="3">
        <v>91</v>
      </c>
      <c r="V690" s="3">
        <v>43</v>
      </c>
      <c r="W690" s="3">
        <v>0</v>
      </c>
      <c r="X690" s="3" t="s">
        <v>147</v>
      </c>
      <c r="Y690" s="3">
        <v>0</v>
      </c>
      <c r="Z690" s="3">
        <v>0</v>
      </c>
      <c r="AA690" s="3">
        <v>0</v>
      </c>
      <c r="AB690" s="3">
        <v>0</v>
      </c>
      <c r="AC690" s="3">
        <v>0</v>
      </c>
      <c r="AD690" s="3">
        <v>0</v>
      </c>
      <c r="AE690" s="3">
        <v>14</v>
      </c>
      <c r="AF690" s="3" t="s">
        <v>0</v>
      </c>
      <c r="AG690" s="3" t="s">
        <v>49</v>
      </c>
    </row>
    <row r="691" spans="1:33" ht="114.75" x14ac:dyDescent="0.2">
      <c r="A691" s="5" t="str">
        <f>HYPERLINK("http://www.patentics.cn/invokexml.do?sf=ShowPatent&amp;spn=US9474000&amp;sv=914914f5b329e2ffe7790978660092da","US9474000")</f>
        <v>US9474000</v>
      </c>
      <c r="B691" s="3" t="s">
        <v>2277</v>
      </c>
      <c r="C691" s="3" t="s">
        <v>2278</v>
      </c>
      <c r="D691" s="3" t="s">
        <v>52</v>
      </c>
      <c r="E691" s="3" t="s">
        <v>52</v>
      </c>
      <c r="F691" s="3" t="s">
        <v>2279</v>
      </c>
      <c r="G691" s="3" t="s">
        <v>2274</v>
      </c>
      <c r="H691" s="3" t="s">
        <v>2280</v>
      </c>
      <c r="I691" s="3" t="s">
        <v>2281</v>
      </c>
      <c r="J691" s="3" t="s">
        <v>528</v>
      </c>
      <c r="K691" s="3" t="s">
        <v>82</v>
      </c>
      <c r="L691" s="3" t="s">
        <v>83</v>
      </c>
      <c r="M691" s="3" t="s">
        <v>82</v>
      </c>
      <c r="N691" s="3" t="s">
        <v>1678</v>
      </c>
      <c r="O691" s="3">
        <v>0</v>
      </c>
      <c r="P691" s="3">
        <v>22</v>
      </c>
      <c r="Q691" s="3" t="s">
        <v>60</v>
      </c>
      <c r="R691" s="3" t="s">
        <v>61</v>
      </c>
      <c r="S691" s="3">
        <v>107</v>
      </c>
      <c r="T691" s="3">
        <v>10</v>
      </c>
      <c r="U691" s="3">
        <v>97</v>
      </c>
      <c r="V691" s="3">
        <v>46</v>
      </c>
      <c r="W691" s="3">
        <v>0</v>
      </c>
      <c r="X691" s="3" t="s">
        <v>147</v>
      </c>
      <c r="Y691" s="3">
        <v>0</v>
      </c>
      <c r="Z691" s="3">
        <v>0</v>
      </c>
      <c r="AA691" s="3">
        <v>0</v>
      </c>
      <c r="AB691" s="3">
        <v>0</v>
      </c>
      <c r="AC691" s="3">
        <v>19</v>
      </c>
      <c r="AD691" s="3">
        <v>4</v>
      </c>
      <c r="AE691" s="3">
        <v>14</v>
      </c>
      <c r="AF691" s="3" t="s">
        <v>0</v>
      </c>
      <c r="AG691" s="3" t="s">
        <v>49</v>
      </c>
    </row>
    <row r="692" spans="1:33" ht="153" x14ac:dyDescent="0.2">
      <c r="A692" s="5" t="str">
        <f>HYPERLINK("http://www.patentics.cn/invokexml.do?sf=ShowPatent&amp;spn=US9485771&amp;sv=9ef5790a677d2aa5bf16530d5f966c93","US9485771")</f>
        <v>US9485771</v>
      </c>
      <c r="B692" s="3" t="s">
        <v>2271</v>
      </c>
      <c r="C692" s="3" t="s">
        <v>2272</v>
      </c>
      <c r="D692" s="3" t="s">
        <v>52</v>
      </c>
      <c r="E692" s="3" t="s">
        <v>52</v>
      </c>
      <c r="F692" s="3" t="s">
        <v>2273</v>
      </c>
      <c r="G692" s="3" t="s">
        <v>2274</v>
      </c>
      <c r="H692" s="3" t="s">
        <v>2280</v>
      </c>
      <c r="I692" s="3" t="s">
        <v>2275</v>
      </c>
      <c r="J692" s="3" t="s">
        <v>727</v>
      </c>
      <c r="K692" s="3" t="s">
        <v>82</v>
      </c>
      <c r="L692" s="3" t="s">
        <v>862</v>
      </c>
      <c r="M692" s="3" t="s">
        <v>82</v>
      </c>
      <c r="N692" s="3" t="s">
        <v>2168</v>
      </c>
      <c r="O692" s="3">
        <v>0</v>
      </c>
      <c r="P692" s="3">
        <v>12</v>
      </c>
      <c r="Q692" s="3" t="s">
        <v>60</v>
      </c>
      <c r="R692" s="3" t="s">
        <v>61</v>
      </c>
      <c r="S692" s="3">
        <v>104</v>
      </c>
      <c r="T692" s="3">
        <v>10</v>
      </c>
      <c r="U692" s="3">
        <v>94</v>
      </c>
      <c r="V692" s="3">
        <v>44</v>
      </c>
      <c r="W692" s="3">
        <v>0</v>
      </c>
      <c r="X692" s="3" t="s">
        <v>147</v>
      </c>
      <c r="Y692" s="3">
        <v>0</v>
      </c>
      <c r="Z692" s="3">
        <v>0</v>
      </c>
      <c r="AA692" s="3">
        <v>0</v>
      </c>
      <c r="AB692" s="3">
        <v>0</v>
      </c>
      <c r="AC692" s="3">
        <v>19</v>
      </c>
      <c r="AD692" s="3">
        <v>4</v>
      </c>
      <c r="AE692" s="3">
        <v>14</v>
      </c>
      <c r="AF692" s="3" t="s">
        <v>0</v>
      </c>
      <c r="AG692" s="3" t="s">
        <v>49</v>
      </c>
    </row>
    <row r="693" spans="1:33" ht="38.25" x14ac:dyDescent="0.2">
      <c r="A693" s="4" t="str">
        <f>HYPERLINK("http://www.patentics.cn/invokexml.do?sf=ShowPatent&amp;spn=US20110110310&amp;sv=bcf9f23188bb80fb94a041b1c228ab8e","US20110110310")</f>
        <v>US20110110310</v>
      </c>
      <c r="B693" s="2" t="s">
        <v>3225</v>
      </c>
      <c r="C693" s="2" t="s">
        <v>3226</v>
      </c>
      <c r="D693" s="2" t="s">
        <v>346</v>
      </c>
      <c r="E693" s="2" t="s">
        <v>346</v>
      </c>
      <c r="F693" s="2" t="s">
        <v>1314</v>
      </c>
      <c r="G693" s="2" t="s">
        <v>1314</v>
      </c>
      <c r="H693" s="2" t="s">
        <v>2327</v>
      </c>
      <c r="I693" s="2" t="s">
        <v>3227</v>
      </c>
      <c r="J693" s="2" t="s">
        <v>2247</v>
      </c>
      <c r="K693" s="2" t="s">
        <v>82</v>
      </c>
      <c r="L693" s="2" t="s">
        <v>3228</v>
      </c>
      <c r="M693" s="2" t="s">
        <v>0</v>
      </c>
      <c r="N693" s="2" t="s">
        <v>0</v>
      </c>
      <c r="O693" s="2">
        <v>4</v>
      </c>
      <c r="P693" s="2">
        <v>11</v>
      </c>
      <c r="Q693" s="2" t="s">
        <v>352</v>
      </c>
      <c r="R693" s="2" t="s">
        <v>61</v>
      </c>
      <c r="S693" s="2">
        <v>0</v>
      </c>
      <c r="T693" s="2">
        <v>0</v>
      </c>
      <c r="U693" s="2">
        <v>0</v>
      </c>
      <c r="V693" s="2">
        <v>0</v>
      </c>
      <c r="W693" s="2">
        <v>7</v>
      </c>
      <c r="X693" s="2" t="s">
        <v>1896</v>
      </c>
      <c r="Y693" s="2">
        <v>0</v>
      </c>
      <c r="Z693" s="2">
        <v>7</v>
      </c>
      <c r="AA693" s="2">
        <v>3</v>
      </c>
      <c r="AB693" s="2">
        <v>1</v>
      </c>
      <c r="AC693" s="2">
        <v>13</v>
      </c>
      <c r="AD693" s="2">
        <v>6</v>
      </c>
      <c r="AE693" s="2" t="s">
        <v>0</v>
      </c>
      <c r="AF693" s="2">
        <v>4</v>
      </c>
      <c r="AG693" s="2" t="s">
        <v>49</v>
      </c>
    </row>
    <row r="694" spans="1:33" ht="114.75" x14ac:dyDescent="0.2">
      <c r="A694" s="5" t="str">
        <f>HYPERLINK("http://www.patentics.cn/invokexml.do?sf=ShowPatent&amp;spn=US8509162&amp;sv=cacebc9c185c46193ab10c8f9bc50095","US8509162")</f>
        <v>US8509162</v>
      </c>
      <c r="B694" s="3" t="s">
        <v>3229</v>
      </c>
      <c r="C694" s="3" t="s">
        <v>3230</v>
      </c>
      <c r="D694" s="3" t="s">
        <v>52</v>
      </c>
      <c r="E694" s="3" t="s">
        <v>52</v>
      </c>
      <c r="F694" s="3" t="s">
        <v>3231</v>
      </c>
      <c r="G694" s="3" t="s">
        <v>3015</v>
      </c>
      <c r="H694" s="3" t="s">
        <v>2779</v>
      </c>
      <c r="I694" s="3" t="s">
        <v>3232</v>
      </c>
      <c r="J694" s="3" t="s">
        <v>1479</v>
      </c>
      <c r="K694" s="3" t="s">
        <v>82</v>
      </c>
      <c r="L694" s="3" t="s">
        <v>83</v>
      </c>
      <c r="M694" s="3" t="s">
        <v>82</v>
      </c>
      <c r="N694" s="3" t="s">
        <v>3233</v>
      </c>
      <c r="O694" s="3">
        <v>0</v>
      </c>
      <c r="P694" s="3">
        <v>21</v>
      </c>
      <c r="Q694" s="3" t="s">
        <v>60</v>
      </c>
      <c r="R694" s="3" t="s">
        <v>61</v>
      </c>
      <c r="S694" s="3">
        <v>36</v>
      </c>
      <c r="T694" s="3">
        <v>5</v>
      </c>
      <c r="U694" s="3">
        <v>31</v>
      </c>
      <c r="V694" s="3">
        <v>17</v>
      </c>
      <c r="W694" s="3">
        <v>8</v>
      </c>
      <c r="X694" s="3" t="s">
        <v>3234</v>
      </c>
      <c r="Y694" s="3">
        <v>0</v>
      </c>
      <c r="Z694" s="3">
        <v>8</v>
      </c>
      <c r="AA694" s="3">
        <v>2</v>
      </c>
      <c r="AB694" s="3">
        <v>2</v>
      </c>
      <c r="AC694" s="3">
        <v>21</v>
      </c>
      <c r="AD694" s="3">
        <v>14</v>
      </c>
      <c r="AE694" s="3">
        <v>14</v>
      </c>
      <c r="AF694" s="3" t="s">
        <v>0</v>
      </c>
      <c r="AG694" s="3" t="s">
        <v>49</v>
      </c>
    </row>
    <row r="695" spans="1:33" ht="25.5" x14ac:dyDescent="0.2">
      <c r="A695" s="5" t="str">
        <f>HYPERLINK("http://www.patentics.cn/invokexml.do?sf=ShowPatent&amp;spn=US9036538&amp;sv=584cfa081eca28461e2cb239578d29fc","US9036538")</f>
        <v>US9036538</v>
      </c>
      <c r="B695" s="3" t="s">
        <v>205</v>
      </c>
      <c r="C695" s="3" t="s">
        <v>200</v>
      </c>
      <c r="D695" s="3" t="s">
        <v>52</v>
      </c>
      <c r="E695" s="3" t="s">
        <v>52</v>
      </c>
      <c r="F695" s="3" t="s">
        <v>193</v>
      </c>
      <c r="G695" s="3" t="s">
        <v>193</v>
      </c>
      <c r="H695" s="3" t="s">
        <v>201</v>
      </c>
      <c r="I695" s="3" t="s">
        <v>206</v>
      </c>
      <c r="J695" s="3" t="s">
        <v>207</v>
      </c>
      <c r="K695" s="3" t="s">
        <v>82</v>
      </c>
      <c r="L695" s="3" t="s">
        <v>83</v>
      </c>
      <c r="M695" s="3" t="s">
        <v>0</v>
      </c>
      <c r="N695" s="3" t="s">
        <v>0</v>
      </c>
      <c r="O695" s="3">
        <v>0</v>
      </c>
      <c r="P695" s="3">
        <v>14</v>
      </c>
      <c r="Q695" s="3" t="s">
        <v>60</v>
      </c>
      <c r="R695" s="3" t="s">
        <v>61</v>
      </c>
      <c r="S695" s="3">
        <v>1143</v>
      </c>
      <c r="T695" s="3">
        <v>245</v>
      </c>
      <c r="U695" s="3">
        <v>898</v>
      </c>
      <c r="V695" s="3">
        <v>197</v>
      </c>
      <c r="W695" s="3">
        <v>0</v>
      </c>
      <c r="X695" s="3" t="s">
        <v>147</v>
      </c>
      <c r="Y695" s="3">
        <v>0</v>
      </c>
      <c r="Z695" s="3">
        <v>0</v>
      </c>
      <c r="AA695" s="3">
        <v>0</v>
      </c>
      <c r="AB695" s="3">
        <v>0</v>
      </c>
      <c r="AC695" s="3">
        <v>51</v>
      </c>
      <c r="AD695" s="3">
        <v>14</v>
      </c>
      <c r="AE695" s="3">
        <v>14</v>
      </c>
      <c r="AF695" s="3" t="s">
        <v>0</v>
      </c>
      <c r="AG695" s="3" t="s">
        <v>49</v>
      </c>
    </row>
    <row r="696" spans="1:33" ht="114.75" x14ac:dyDescent="0.2">
      <c r="A696" s="5" t="str">
        <f>HYPERLINK("http://www.patentics.cn/invokexml.do?sf=ShowPatent&amp;spn=US9461859&amp;sv=027d2fad25d71f90e65c341d65dc5cdd","US9461859")</f>
        <v>US9461859</v>
      </c>
      <c r="B696" s="3" t="s">
        <v>328</v>
      </c>
      <c r="C696" s="3" t="s">
        <v>237</v>
      </c>
      <c r="D696" s="3" t="s">
        <v>52</v>
      </c>
      <c r="E696" s="3" t="s">
        <v>52</v>
      </c>
      <c r="F696" s="3" t="s">
        <v>238</v>
      </c>
      <c r="G696" s="3" t="s">
        <v>112</v>
      </c>
      <c r="H696" s="3" t="s">
        <v>55</v>
      </c>
      <c r="I696" s="3" t="s">
        <v>55</v>
      </c>
      <c r="J696" s="3" t="s">
        <v>329</v>
      </c>
      <c r="K696" s="3" t="s">
        <v>84</v>
      </c>
      <c r="L696" s="3" t="s">
        <v>312</v>
      </c>
      <c r="M696" s="3" t="s">
        <v>58</v>
      </c>
      <c r="N696" s="3" t="s">
        <v>330</v>
      </c>
      <c r="O696" s="3">
        <v>0</v>
      </c>
      <c r="P696" s="3">
        <v>13</v>
      </c>
      <c r="Q696" s="3" t="s">
        <v>60</v>
      </c>
      <c r="R696" s="3" t="s">
        <v>61</v>
      </c>
      <c r="S696" s="3">
        <v>1158</v>
      </c>
      <c r="T696" s="3">
        <v>257</v>
      </c>
      <c r="U696" s="3">
        <v>901</v>
      </c>
      <c r="V696" s="3">
        <v>197</v>
      </c>
      <c r="W696" s="3">
        <v>0</v>
      </c>
      <c r="X696" s="3" t="s">
        <v>147</v>
      </c>
      <c r="Y696" s="3">
        <v>0</v>
      </c>
      <c r="Z696" s="3">
        <v>0</v>
      </c>
      <c r="AA696" s="3">
        <v>0</v>
      </c>
      <c r="AB696" s="3">
        <v>0</v>
      </c>
      <c r="AC696" s="3">
        <v>31</v>
      </c>
      <c r="AD696" s="3">
        <v>18</v>
      </c>
      <c r="AE696" s="3">
        <v>14</v>
      </c>
      <c r="AF696" s="3" t="s">
        <v>0</v>
      </c>
      <c r="AG696" s="3" t="s">
        <v>49</v>
      </c>
    </row>
    <row r="697" spans="1:33" ht="76.5" x14ac:dyDescent="0.2">
      <c r="A697" s="5" t="str">
        <f>HYPERLINK("http://www.patentics.cn/invokexml.do?sf=ShowPatent&amp;spn=US9544782&amp;sv=3afe3c16f6e54a823fac61f27b730619","US9544782")</f>
        <v>US9544782</v>
      </c>
      <c r="B697" s="3" t="s">
        <v>3235</v>
      </c>
      <c r="C697" s="3" t="s">
        <v>3236</v>
      </c>
      <c r="D697" s="3" t="s">
        <v>52</v>
      </c>
      <c r="E697" s="3" t="s">
        <v>52</v>
      </c>
      <c r="F697" s="3" t="s">
        <v>3237</v>
      </c>
      <c r="G697" s="3" t="s">
        <v>3238</v>
      </c>
      <c r="H697" s="3" t="s">
        <v>3239</v>
      </c>
      <c r="I697" s="3" t="s">
        <v>1970</v>
      </c>
      <c r="J697" s="3" t="s">
        <v>861</v>
      </c>
      <c r="K697" s="3" t="s">
        <v>82</v>
      </c>
      <c r="L697" s="3" t="s">
        <v>3240</v>
      </c>
      <c r="M697" s="3" t="s">
        <v>82</v>
      </c>
      <c r="N697" s="3" t="s">
        <v>3241</v>
      </c>
      <c r="O697" s="3">
        <v>0</v>
      </c>
      <c r="P697" s="3">
        <v>9</v>
      </c>
      <c r="Q697" s="3" t="s">
        <v>60</v>
      </c>
      <c r="R697" s="3" t="s">
        <v>61</v>
      </c>
      <c r="S697" s="3">
        <v>69</v>
      </c>
      <c r="T697" s="3">
        <v>6</v>
      </c>
      <c r="U697" s="3">
        <v>63</v>
      </c>
      <c r="V697" s="3">
        <v>27</v>
      </c>
      <c r="W697" s="3">
        <v>0</v>
      </c>
      <c r="X697" s="3" t="s">
        <v>147</v>
      </c>
      <c r="Y697" s="3">
        <v>0</v>
      </c>
      <c r="Z697" s="3">
        <v>0</v>
      </c>
      <c r="AA697" s="3">
        <v>0</v>
      </c>
      <c r="AB697" s="3">
        <v>0</v>
      </c>
      <c r="AC697" s="3">
        <v>6</v>
      </c>
      <c r="AD697" s="3">
        <v>6</v>
      </c>
      <c r="AE697" s="3">
        <v>14</v>
      </c>
      <c r="AF697" s="3" t="s">
        <v>0</v>
      </c>
      <c r="AG697" s="3" t="s">
        <v>49</v>
      </c>
    </row>
    <row r="698" spans="1:33" ht="76.5" x14ac:dyDescent="0.2">
      <c r="A698" s="4" t="str">
        <f>HYPERLINK("http://www.patentics.cn/invokexml.do?sf=ShowPatent&amp;spn=US20110085497&amp;sv=e28c1597338153f0c8c011a6c4c53e39","US20110085497")</f>
        <v>US20110085497</v>
      </c>
      <c r="B698" s="2" t="s">
        <v>3242</v>
      </c>
      <c r="C698" s="2" t="s">
        <v>3243</v>
      </c>
      <c r="D698" s="2" t="s">
        <v>346</v>
      </c>
      <c r="E698" s="2" t="s">
        <v>346</v>
      </c>
      <c r="F698" s="2" t="s">
        <v>3244</v>
      </c>
      <c r="G698" s="2" t="s">
        <v>1006</v>
      </c>
      <c r="H698" s="2" t="s">
        <v>682</v>
      </c>
      <c r="I698" s="2" t="s">
        <v>3245</v>
      </c>
      <c r="J698" s="2" t="s">
        <v>2301</v>
      </c>
      <c r="K698" s="2" t="s">
        <v>82</v>
      </c>
      <c r="L698" s="2" t="s">
        <v>2544</v>
      </c>
      <c r="M698" s="2" t="s">
        <v>0</v>
      </c>
      <c r="N698" s="2" t="s">
        <v>0</v>
      </c>
      <c r="O698" s="2">
        <v>18</v>
      </c>
      <c r="P698" s="2">
        <v>17</v>
      </c>
      <c r="Q698" s="2" t="s">
        <v>352</v>
      </c>
      <c r="R698" s="2" t="s">
        <v>61</v>
      </c>
      <c r="S698" s="2">
        <v>0</v>
      </c>
      <c r="T698" s="2">
        <v>0</v>
      </c>
      <c r="U698" s="2">
        <v>0</v>
      </c>
      <c r="V698" s="2">
        <v>0</v>
      </c>
      <c r="W698" s="2">
        <v>12</v>
      </c>
      <c r="X698" s="2" t="s">
        <v>3246</v>
      </c>
      <c r="Y698" s="2">
        <v>2</v>
      </c>
      <c r="Z698" s="2">
        <v>10</v>
      </c>
      <c r="AA698" s="2">
        <v>8</v>
      </c>
      <c r="AB698" s="2">
        <v>2</v>
      </c>
      <c r="AC698" s="2">
        <v>2</v>
      </c>
      <c r="AD698" s="2">
        <v>2</v>
      </c>
      <c r="AE698" s="2" t="s">
        <v>0</v>
      </c>
      <c r="AF698" s="2">
        <v>4</v>
      </c>
      <c r="AG698" s="2" t="s">
        <v>2231</v>
      </c>
    </row>
    <row r="699" spans="1:33" ht="63.75" x14ac:dyDescent="0.2">
      <c r="A699" s="5" t="str">
        <f>HYPERLINK("http://www.patentics.cn/invokexml.do?sf=ShowPatent&amp;spn=US8768373&amp;sv=9f254431b54e730193d8286dc6001249","US8768373")</f>
        <v>US8768373</v>
      </c>
      <c r="B699" s="3" t="s">
        <v>3247</v>
      </c>
      <c r="C699" s="3" t="s">
        <v>3248</v>
      </c>
      <c r="D699" s="3" t="s">
        <v>52</v>
      </c>
      <c r="E699" s="3" t="s">
        <v>52</v>
      </c>
      <c r="F699" s="3" t="s">
        <v>3249</v>
      </c>
      <c r="G699" s="3" t="s">
        <v>3250</v>
      </c>
      <c r="H699" s="3" t="s">
        <v>1999</v>
      </c>
      <c r="I699" s="3" t="s">
        <v>3251</v>
      </c>
      <c r="J699" s="3" t="s">
        <v>1544</v>
      </c>
      <c r="K699" s="3" t="s">
        <v>82</v>
      </c>
      <c r="L699" s="3" t="s">
        <v>226</v>
      </c>
      <c r="M699" s="3" t="s">
        <v>82</v>
      </c>
      <c r="N699" s="3" t="s">
        <v>1928</v>
      </c>
      <c r="O699" s="3">
        <v>0</v>
      </c>
      <c r="P699" s="3">
        <v>14</v>
      </c>
      <c r="Q699" s="3" t="s">
        <v>60</v>
      </c>
      <c r="R699" s="3" t="s">
        <v>61</v>
      </c>
      <c r="S699" s="3">
        <v>80</v>
      </c>
      <c r="T699" s="3">
        <v>29</v>
      </c>
      <c r="U699" s="3">
        <v>51</v>
      </c>
      <c r="V699" s="3">
        <v>29</v>
      </c>
      <c r="W699" s="3">
        <v>1</v>
      </c>
      <c r="X699" s="3" t="s">
        <v>147</v>
      </c>
      <c r="Y699" s="3">
        <v>1</v>
      </c>
      <c r="Z699" s="3">
        <v>0</v>
      </c>
      <c r="AA699" s="3">
        <v>1</v>
      </c>
      <c r="AB699" s="3">
        <v>1</v>
      </c>
      <c r="AC699" s="3">
        <v>116</v>
      </c>
      <c r="AD699" s="3">
        <v>7</v>
      </c>
      <c r="AE699" s="3">
        <v>14</v>
      </c>
      <c r="AF699" s="3" t="s">
        <v>0</v>
      </c>
      <c r="AG699" s="3" t="s">
        <v>49</v>
      </c>
    </row>
    <row r="700" spans="1:33" ht="127.5" x14ac:dyDescent="0.2">
      <c r="A700" s="5" t="str">
        <f>HYPERLINK("http://www.patentics.cn/invokexml.do?sf=ShowPatent&amp;spn=US9220101&amp;sv=04f3743bd855c7c4f7fbdbb729f5a3ca","US9220101")</f>
        <v>US9220101</v>
      </c>
      <c r="B700" s="3" t="s">
        <v>3252</v>
      </c>
      <c r="C700" s="3" t="s">
        <v>3253</v>
      </c>
      <c r="D700" s="3" t="s">
        <v>52</v>
      </c>
      <c r="E700" s="3" t="s">
        <v>52</v>
      </c>
      <c r="F700" s="3" t="s">
        <v>3254</v>
      </c>
      <c r="G700" s="3" t="s">
        <v>3255</v>
      </c>
      <c r="H700" s="3" t="s">
        <v>1999</v>
      </c>
      <c r="I700" s="3" t="s">
        <v>2270</v>
      </c>
      <c r="J700" s="3" t="s">
        <v>3256</v>
      </c>
      <c r="K700" s="3" t="s">
        <v>58</v>
      </c>
      <c r="L700" s="3" t="s">
        <v>613</v>
      </c>
      <c r="M700" s="3" t="s">
        <v>82</v>
      </c>
      <c r="N700" s="3" t="s">
        <v>3257</v>
      </c>
      <c r="O700" s="3">
        <v>0</v>
      </c>
      <c r="P700" s="3">
        <v>6</v>
      </c>
      <c r="Q700" s="3" t="s">
        <v>60</v>
      </c>
      <c r="R700" s="3" t="s">
        <v>61</v>
      </c>
      <c r="S700" s="3">
        <v>218</v>
      </c>
      <c r="T700" s="3">
        <v>42</v>
      </c>
      <c r="U700" s="3">
        <v>176</v>
      </c>
      <c r="V700" s="3">
        <v>65</v>
      </c>
      <c r="W700" s="3">
        <v>0</v>
      </c>
      <c r="X700" s="3" t="s">
        <v>147</v>
      </c>
      <c r="Y700" s="3">
        <v>0</v>
      </c>
      <c r="Z700" s="3">
        <v>0</v>
      </c>
      <c r="AA700" s="3">
        <v>0</v>
      </c>
      <c r="AB700" s="3">
        <v>0</v>
      </c>
      <c r="AC700" s="3">
        <v>116</v>
      </c>
      <c r="AD700" s="3">
        <v>7</v>
      </c>
      <c r="AE700" s="3">
        <v>14</v>
      </c>
      <c r="AF700" s="3" t="s">
        <v>0</v>
      </c>
      <c r="AG700" s="3" t="s">
        <v>49</v>
      </c>
    </row>
    <row r="701" spans="1:33" ht="127.5" x14ac:dyDescent="0.2">
      <c r="A701" s="5" t="str">
        <f>HYPERLINK("http://www.patentics.cn/invokexml.do?sf=ShowPatent&amp;spn=US9516531&amp;sv=4c1f462ea627f2256d502cd2e5d52129","US9516531")</f>
        <v>US9516531</v>
      </c>
      <c r="B701" s="3" t="s">
        <v>3258</v>
      </c>
      <c r="C701" s="3" t="s">
        <v>3259</v>
      </c>
      <c r="D701" s="3" t="s">
        <v>52</v>
      </c>
      <c r="E701" s="3" t="s">
        <v>52</v>
      </c>
      <c r="F701" s="3" t="s">
        <v>3260</v>
      </c>
      <c r="G701" s="3" t="s">
        <v>3255</v>
      </c>
      <c r="H701" s="3" t="s">
        <v>1999</v>
      </c>
      <c r="I701" s="3" t="s">
        <v>1427</v>
      </c>
      <c r="J701" s="3" t="s">
        <v>3261</v>
      </c>
      <c r="K701" s="3" t="s">
        <v>82</v>
      </c>
      <c r="L701" s="3" t="s">
        <v>2215</v>
      </c>
      <c r="M701" s="3" t="s">
        <v>82</v>
      </c>
      <c r="N701" s="3" t="s">
        <v>799</v>
      </c>
      <c r="O701" s="3">
        <v>0</v>
      </c>
      <c r="P701" s="3">
        <v>12</v>
      </c>
      <c r="Q701" s="3" t="s">
        <v>60</v>
      </c>
      <c r="R701" s="3" t="s">
        <v>61</v>
      </c>
      <c r="S701" s="3">
        <v>248</v>
      </c>
      <c r="T701" s="3">
        <v>48</v>
      </c>
      <c r="U701" s="3">
        <v>200</v>
      </c>
      <c r="V701" s="3">
        <v>72</v>
      </c>
      <c r="W701" s="3">
        <v>0</v>
      </c>
      <c r="X701" s="3" t="s">
        <v>147</v>
      </c>
      <c r="Y701" s="3">
        <v>0</v>
      </c>
      <c r="Z701" s="3">
        <v>0</v>
      </c>
      <c r="AA701" s="3">
        <v>0</v>
      </c>
      <c r="AB701" s="3">
        <v>0</v>
      </c>
      <c r="AC701" s="3">
        <v>116</v>
      </c>
      <c r="AD701" s="3">
        <v>7</v>
      </c>
      <c r="AE701" s="3">
        <v>14</v>
      </c>
      <c r="AF701" s="3" t="s">
        <v>0</v>
      </c>
      <c r="AG701" s="3" t="s">
        <v>49</v>
      </c>
    </row>
    <row r="702" spans="1:33" ht="127.5" x14ac:dyDescent="0.2">
      <c r="A702" s="5" t="str">
        <f>HYPERLINK("http://www.patentics.cn/invokexml.do?sf=ShowPatent&amp;spn=US9532251&amp;sv=68f400ebe7d192ce14af888df365d914","US9532251")</f>
        <v>US9532251</v>
      </c>
      <c r="B702" s="3" t="s">
        <v>3262</v>
      </c>
      <c r="C702" s="3" t="s">
        <v>3263</v>
      </c>
      <c r="D702" s="3" t="s">
        <v>52</v>
      </c>
      <c r="E702" s="3" t="s">
        <v>52</v>
      </c>
      <c r="F702" s="3" t="s">
        <v>3260</v>
      </c>
      <c r="G702" s="3" t="s">
        <v>3255</v>
      </c>
      <c r="H702" s="3" t="s">
        <v>1999</v>
      </c>
      <c r="I702" s="3" t="s">
        <v>1452</v>
      </c>
      <c r="J702" s="3" t="s">
        <v>3264</v>
      </c>
      <c r="K702" s="3" t="s">
        <v>84</v>
      </c>
      <c r="L702" s="3" t="s">
        <v>163</v>
      </c>
      <c r="M702" s="3" t="s">
        <v>82</v>
      </c>
      <c r="N702" s="3" t="s">
        <v>799</v>
      </c>
      <c r="O702" s="3">
        <v>0</v>
      </c>
      <c r="P702" s="3">
        <v>15</v>
      </c>
      <c r="Q702" s="3" t="s">
        <v>60</v>
      </c>
      <c r="R702" s="3" t="s">
        <v>61</v>
      </c>
      <c r="S702" s="3">
        <v>240</v>
      </c>
      <c r="T702" s="3">
        <v>42</v>
      </c>
      <c r="U702" s="3">
        <v>198</v>
      </c>
      <c r="V702" s="3">
        <v>72</v>
      </c>
      <c r="W702" s="3">
        <v>0</v>
      </c>
      <c r="X702" s="3" t="s">
        <v>147</v>
      </c>
      <c r="Y702" s="3">
        <v>0</v>
      </c>
      <c r="Z702" s="3">
        <v>0</v>
      </c>
      <c r="AA702" s="3">
        <v>0</v>
      </c>
      <c r="AB702" s="3">
        <v>0</v>
      </c>
      <c r="AC702" s="3">
        <v>116</v>
      </c>
      <c r="AD702" s="3">
        <v>7</v>
      </c>
      <c r="AE702" s="3">
        <v>14</v>
      </c>
      <c r="AF702" s="3" t="s">
        <v>0</v>
      </c>
      <c r="AG702" s="3" t="s">
        <v>49</v>
      </c>
    </row>
    <row r="703" spans="1:33" ht="38.25" x14ac:dyDescent="0.2">
      <c r="A703" s="4" t="str">
        <f>HYPERLINK("http://www.patentics.cn/invokexml.do?sf=ShowPatent&amp;spn=US20100054155&amp;sv=55613d7db40521a6f37b17ab205f253d","US20100054155")</f>
        <v>US20100054155</v>
      </c>
      <c r="B703" s="2" t="s">
        <v>3265</v>
      </c>
      <c r="C703" s="2" t="s">
        <v>3266</v>
      </c>
      <c r="D703" s="2" t="s">
        <v>346</v>
      </c>
      <c r="E703" s="2" t="s">
        <v>346</v>
      </c>
      <c r="F703" s="2" t="s">
        <v>3267</v>
      </c>
      <c r="G703" s="2" t="s">
        <v>1314</v>
      </c>
      <c r="H703" s="2" t="s">
        <v>3268</v>
      </c>
      <c r="I703" s="2" t="s">
        <v>1336</v>
      </c>
      <c r="J703" s="2" t="s">
        <v>3269</v>
      </c>
      <c r="K703" s="2" t="s">
        <v>84</v>
      </c>
      <c r="L703" s="2" t="s">
        <v>278</v>
      </c>
      <c r="M703" s="2" t="s">
        <v>84</v>
      </c>
      <c r="N703" s="2" t="s">
        <v>3270</v>
      </c>
      <c r="O703" s="2">
        <v>23</v>
      </c>
      <c r="P703" s="2">
        <v>5</v>
      </c>
      <c r="Q703" s="2" t="s">
        <v>352</v>
      </c>
      <c r="R703" s="2" t="s">
        <v>47</v>
      </c>
      <c r="S703" s="2">
        <v>0</v>
      </c>
      <c r="T703" s="2">
        <v>0</v>
      </c>
      <c r="U703" s="2">
        <v>0</v>
      </c>
      <c r="V703" s="2">
        <v>0</v>
      </c>
      <c r="W703" s="2">
        <v>11</v>
      </c>
      <c r="X703" s="2" t="s">
        <v>3271</v>
      </c>
      <c r="Y703" s="2">
        <v>0</v>
      </c>
      <c r="Z703" s="2">
        <v>11</v>
      </c>
      <c r="AA703" s="2">
        <v>7</v>
      </c>
      <c r="AB703" s="2">
        <v>3</v>
      </c>
      <c r="AC703" s="2">
        <v>7</v>
      </c>
      <c r="AD703" s="2">
        <v>5</v>
      </c>
      <c r="AE703" s="2" t="s">
        <v>0</v>
      </c>
      <c r="AF703" s="2">
        <v>4</v>
      </c>
      <c r="AG703" s="2" t="s">
        <v>49</v>
      </c>
    </row>
    <row r="704" spans="1:33" ht="89.25" x14ac:dyDescent="0.2">
      <c r="A704" s="5" t="str">
        <f>HYPERLINK("http://www.patentics.cn/invokexml.do?sf=ShowPatent&amp;spn=US8885502&amp;sv=3b094ec16cbc7b4850b3874f4716edd7","US8885502")</f>
        <v>US8885502</v>
      </c>
      <c r="B704" s="3" t="s">
        <v>3272</v>
      </c>
      <c r="C704" s="3" t="s">
        <v>3273</v>
      </c>
      <c r="D704" s="3" t="s">
        <v>52</v>
      </c>
      <c r="E704" s="3" t="s">
        <v>52</v>
      </c>
      <c r="F704" s="3" t="s">
        <v>3274</v>
      </c>
      <c r="G704" s="3" t="s">
        <v>3275</v>
      </c>
      <c r="H704" s="3" t="s">
        <v>3276</v>
      </c>
      <c r="I704" s="3" t="s">
        <v>3276</v>
      </c>
      <c r="J704" s="3" t="s">
        <v>196</v>
      </c>
      <c r="K704" s="3" t="s">
        <v>58</v>
      </c>
      <c r="L704" s="3" t="s">
        <v>1784</v>
      </c>
      <c r="M704" s="3" t="s">
        <v>58</v>
      </c>
      <c r="N704" s="3" t="s">
        <v>3277</v>
      </c>
      <c r="O704" s="3">
        <v>0</v>
      </c>
      <c r="P704" s="3">
        <v>4</v>
      </c>
      <c r="Q704" s="3" t="s">
        <v>60</v>
      </c>
      <c r="R704" s="3" t="s">
        <v>61</v>
      </c>
      <c r="S704" s="3">
        <v>45</v>
      </c>
      <c r="T704" s="3">
        <v>3</v>
      </c>
      <c r="U704" s="3">
        <v>42</v>
      </c>
      <c r="V704" s="3">
        <v>30</v>
      </c>
      <c r="W704" s="3">
        <v>0</v>
      </c>
      <c r="X704" s="3" t="s">
        <v>147</v>
      </c>
      <c r="Y704" s="3">
        <v>0</v>
      </c>
      <c r="Z704" s="3">
        <v>0</v>
      </c>
      <c r="AA704" s="3">
        <v>0</v>
      </c>
      <c r="AB704" s="3">
        <v>0</v>
      </c>
      <c r="AC704" s="3">
        <v>9</v>
      </c>
      <c r="AD704" s="3">
        <v>7</v>
      </c>
      <c r="AE704" s="3">
        <v>14</v>
      </c>
      <c r="AF704" s="3" t="s">
        <v>0</v>
      </c>
      <c r="AG704" s="3" t="s">
        <v>49</v>
      </c>
    </row>
    <row r="705" spans="1:33" ht="102" x14ac:dyDescent="0.2">
      <c r="A705" s="5" t="str">
        <f>HYPERLINK("http://www.patentics.cn/invokexml.do?sf=ShowPatent&amp;spn=US8995338&amp;sv=fbbbcaa8a6f188a9ceda1aef6a597a2b","US8995338")</f>
        <v>US8995338</v>
      </c>
      <c r="B705" s="3" t="s">
        <v>3278</v>
      </c>
      <c r="C705" s="3" t="s">
        <v>3279</v>
      </c>
      <c r="D705" s="3" t="s">
        <v>52</v>
      </c>
      <c r="E705" s="3" t="s">
        <v>52</v>
      </c>
      <c r="F705" s="3" t="s">
        <v>3280</v>
      </c>
      <c r="G705" s="3" t="s">
        <v>3281</v>
      </c>
      <c r="H705" s="3" t="s">
        <v>3282</v>
      </c>
      <c r="I705" s="3" t="s">
        <v>3283</v>
      </c>
      <c r="J705" s="3" t="s">
        <v>3023</v>
      </c>
      <c r="K705" s="3" t="s">
        <v>82</v>
      </c>
      <c r="L705" s="3" t="s">
        <v>83</v>
      </c>
      <c r="M705" s="3" t="s">
        <v>58</v>
      </c>
      <c r="N705" s="3" t="s">
        <v>1231</v>
      </c>
      <c r="O705" s="3">
        <v>0</v>
      </c>
      <c r="P705" s="3">
        <v>11</v>
      </c>
      <c r="Q705" s="3" t="s">
        <v>60</v>
      </c>
      <c r="R705" s="3" t="s">
        <v>61</v>
      </c>
      <c r="S705" s="3">
        <v>45</v>
      </c>
      <c r="T705" s="3">
        <v>3</v>
      </c>
      <c r="U705" s="3">
        <v>42</v>
      </c>
      <c r="V705" s="3">
        <v>30</v>
      </c>
      <c r="W705" s="3">
        <v>0</v>
      </c>
      <c r="X705" s="3" t="s">
        <v>147</v>
      </c>
      <c r="Y705" s="3">
        <v>0</v>
      </c>
      <c r="Z705" s="3">
        <v>0</v>
      </c>
      <c r="AA705" s="3">
        <v>0</v>
      </c>
      <c r="AB705" s="3">
        <v>0</v>
      </c>
      <c r="AC705" s="3">
        <v>13</v>
      </c>
      <c r="AD705" s="3">
        <v>6</v>
      </c>
      <c r="AE705" s="3">
        <v>14</v>
      </c>
      <c r="AF705" s="3" t="s">
        <v>0</v>
      </c>
      <c r="AG705" s="3" t="s">
        <v>49</v>
      </c>
    </row>
    <row r="706" spans="1:33" ht="76.5" x14ac:dyDescent="0.2">
      <c r="A706" s="5" t="str">
        <f>HYPERLINK("http://www.patentics.cn/invokexml.do?sf=ShowPatent&amp;spn=US9444887&amp;sv=858f3ad4707b918251d10c699da17a94","US9444887")</f>
        <v>US9444887</v>
      </c>
      <c r="B706" s="3" t="s">
        <v>3284</v>
      </c>
      <c r="C706" s="3" t="s">
        <v>3279</v>
      </c>
      <c r="D706" s="3" t="s">
        <v>52</v>
      </c>
      <c r="E706" s="3" t="s">
        <v>52</v>
      </c>
      <c r="F706" s="3" t="s">
        <v>3285</v>
      </c>
      <c r="G706" s="3" t="s">
        <v>3275</v>
      </c>
      <c r="H706" s="3" t="s">
        <v>0</v>
      </c>
      <c r="I706" s="3" t="s">
        <v>3282</v>
      </c>
      <c r="J706" s="3" t="s">
        <v>1422</v>
      </c>
      <c r="K706" s="3" t="s">
        <v>58</v>
      </c>
      <c r="L706" s="3" t="s">
        <v>3167</v>
      </c>
      <c r="M706" s="3" t="s">
        <v>58</v>
      </c>
      <c r="N706" s="3" t="s">
        <v>3286</v>
      </c>
      <c r="O706" s="3">
        <v>0</v>
      </c>
      <c r="P706" s="3">
        <v>11</v>
      </c>
      <c r="Q706" s="3" t="s">
        <v>60</v>
      </c>
      <c r="R706" s="3" t="s">
        <v>61</v>
      </c>
      <c r="S706" s="3">
        <v>59</v>
      </c>
      <c r="T706" s="3">
        <v>3</v>
      </c>
      <c r="U706" s="3">
        <v>56</v>
      </c>
      <c r="V706" s="3">
        <v>37</v>
      </c>
      <c r="W706" s="3">
        <v>0</v>
      </c>
      <c r="X706" s="3" t="s">
        <v>147</v>
      </c>
      <c r="Y706" s="3">
        <v>0</v>
      </c>
      <c r="Z706" s="3">
        <v>0</v>
      </c>
      <c r="AA706" s="3">
        <v>0</v>
      </c>
      <c r="AB706" s="3">
        <v>0</v>
      </c>
      <c r="AC706" s="3">
        <v>0</v>
      </c>
      <c r="AD706" s="3">
        <v>0</v>
      </c>
      <c r="AE706" s="3">
        <v>14</v>
      </c>
      <c r="AF706" s="3" t="s">
        <v>0</v>
      </c>
      <c r="AG706" s="3" t="s">
        <v>49</v>
      </c>
    </row>
    <row r="707" spans="1:33" ht="76.5" x14ac:dyDescent="0.2">
      <c r="A707" s="5" t="str">
        <f>HYPERLINK("http://www.patentics.cn/invokexml.do?sf=ShowPatent&amp;spn=TWI507077&amp;sv=0373a07d6ed259c3cae7512a791f4fa3","TWI507077")</f>
        <v>TWI507077</v>
      </c>
      <c r="B707" s="3" t="s">
        <v>3287</v>
      </c>
      <c r="C707" s="3" t="s">
        <v>3288</v>
      </c>
      <c r="D707" s="3" t="s">
        <v>992</v>
      </c>
      <c r="E707" s="3" t="s">
        <v>338</v>
      </c>
      <c r="F707" s="3" t="s">
        <v>3289</v>
      </c>
      <c r="G707" s="3" t="s">
        <v>3290</v>
      </c>
      <c r="H707" s="3" t="s">
        <v>3282</v>
      </c>
      <c r="I707" s="3" t="s">
        <v>3291</v>
      </c>
      <c r="J707" s="3" t="s">
        <v>3292</v>
      </c>
      <c r="K707" s="3" t="s">
        <v>82</v>
      </c>
      <c r="L707" s="3" t="s">
        <v>3293</v>
      </c>
      <c r="M707" s="3" t="s">
        <v>0</v>
      </c>
      <c r="N707" s="3" t="s">
        <v>0</v>
      </c>
      <c r="O707" s="3">
        <v>58</v>
      </c>
      <c r="P707" s="3">
        <v>13</v>
      </c>
      <c r="Q707" s="3" t="s">
        <v>60</v>
      </c>
      <c r="R707" s="3" t="s">
        <v>1913</v>
      </c>
      <c r="S707" s="3">
        <v>5</v>
      </c>
      <c r="T707" s="3">
        <v>0</v>
      </c>
      <c r="U707" s="3">
        <v>5</v>
      </c>
      <c r="V707" s="3">
        <v>4</v>
      </c>
      <c r="W707" s="3">
        <v>0</v>
      </c>
      <c r="X707" s="3" t="s">
        <v>147</v>
      </c>
      <c r="Y707" s="3">
        <v>0</v>
      </c>
      <c r="Z707" s="3">
        <v>0</v>
      </c>
      <c r="AA707" s="3">
        <v>0</v>
      </c>
      <c r="AB707" s="3">
        <v>0</v>
      </c>
      <c r="AC707" s="3">
        <v>0</v>
      </c>
      <c r="AD707" s="3">
        <v>0</v>
      </c>
      <c r="AE707" s="3">
        <v>14</v>
      </c>
      <c r="AF707" s="3" t="s">
        <v>0</v>
      </c>
      <c r="AG707" s="3" t="s">
        <v>0</v>
      </c>
    </row>
    <row r="708" spans="1:33" ht="89.25" x14ac:dyDescent="0.2">
      <c r="A708" s="4" t="str">
        <f>HYPERLINK("http://www.patentics.cn/invokexml.do?sf=ShowPatent&amp;spn=US20060083336&amp;sv=19498194090d42696b41456d778b94fd","US20060083336")</f>
        <v>US20060083336</v>
      </c>
      <c r="B708" s="2" t="s">
        <v>3294</v>
      </c>
      <c r="C708" s="2" t="s">
        <v>3295</v>
      </c>
      <c r="D708" s="2" t="s">
        <v>346</v>
      </c>
      <c r="E708" s="2" t="s">
        <v>346</v>
      </c>
      <c r="F708" s="2" t="s">
        <v>3296</v>
      </c>
      <c r="G708" s="2" t="s">
        <v>3297</v>
      </c>
      <c r="H708" s="2" t="s">
        <v>3298</v>
      </c>
      <c r="I708" s="2" t="s">
        <v>3299</v>
      </c>
      <c r="J708" s="2" t="s">
        <v>3300</v>
      </c>
      <c r="K708" s="2" t="s">
        <v>675</v>
      </c>
      <c r="L708" s="2" t="s">
        <v>676</v>
      </c>
      <c r="M708" s="2" t="s">
        <v>0</v>
      </c>
      <c r="N708" s="2" t="s">
        <v>0</v>
      </c>
      <c r="O708" s="2">
        <v>17</v>
      </c>
      <c r="P708" s="2">
        <v>20</v>
      </c>
      <c r="Q708" s="2" t="s">
        <v>352</v>
      </c>
      <c r="R708" s="2" t="s">
        <v>61</v>
      </c>
      <c r="S708" s="2">
        <v>0</v>
      </c>
      <c r="T708" s="2">
        <v>0</v>
      </c>
      <c r="U708" s="2">
        <v>0</v>
      </c>
      <c r="V708" s="2">
        <v>0</v>
      </c>
      <c r="W708" s="2">
        <v>9</v>
      </c>
      <c r="X708" s="2" t="s">
        <v>3301</v>
      </c>
      <c r="Y708" s="2">
        <v>0</v>
      </c>
      <c r="Z708" s="2">
        <v>9</v>
      </c>
      <c r="AA708" s="2">
        <v>3</v>
      </c>
      <c r="AB708" s="2">
        <v>4</v>
      </c>
      <c r="AC708" s="2">
        <v>1</v>
      </c>
      <c r="AD708" s="2">
        <v>1</v>
      </c>
      <c r="AE708" s="2" t="s">
        <v>0</v>
      </c>
      <c r="AF708" s="2">
        <v>4</v>
      </c>
      <c r="AG708" s="2" t="s">
        <v>755</v>
      </c>
    </row>
    <row r="709" spans="1:33" ht="63.75" x14ac:dyDescent="0.2">
      <c r="A709" s="5" t="str">
        <f>HYPERLINK("http://www.patentics.cn/invokexml.do?sf=ShowPatent&amp;spn=US8094735&amp;sv=a5165895b2c2be0dd28b66885c17e19e","US8094735")</f>
        <v>US8094735</v>
      </c>
      <c r="B709" s="3" t="s">
        <v>3302</v>
      </c>
      <c r="C709" s="3" t="s">
        <v>3303</v>
      </c>
      <c r="D709" s="3" t="s">
        <v>52</v>
      </c>
      <c r="E709" s="3" t="s">
        <v>52</v>
      </c>
      <c r="F709" s="3" t="s">
        <v>3304</v>
      </c>
      <c r="G709" s="3" t="s">
        <v>1335</v>
      </c>
      <c r="H709" s="3" t="s">
        <v>1342</v>
      </c>
      <c r="I709" s="3" t="s">
        <v>1342</v>
      </c>
      <c r="J709" s="3" t="s">
        <v>3305</v>
      </c>
      <c r="K709" s="3" t="s">
        <v>333</v>
      </c>
      <c r="L709" s="3" t="s">
        <v>334</v>
      </c>
      <c r="M709" s="3" t="s">
        <v>58</v>
      </c>
      <c r="N709" s="3" t="s">
        <v>3306</v>
      </c>
      <c r="O709" s="3">
        <v>0</v>
      </c>
      <c r="P709" s="3">
        <v>10</v>
      </c>
      <c r="Q709" s="3" t="s">
        <v>60</v>
      </c>
      <c r="R709" s="3" t="s">
        <v>61</v>
      </c>
      <c r="S709" s="3">
        <v>6</v>
      </c>
      <c r="T709" s="3">
        <v>1</v>
      </c>
      <c r="U709" s="3">
        <v>5</v>
      </c>
      <c r="V709" s="3">
        <v>6</v>
      </c>
      <c r="W709" s="3">
        <v>0</v>
      </c>
      <c r="X709" s="3" t="s">
        <v>147</v>
      </c>
      <c r="Y709" s="3">
        <v>0</v>
      </c>
      <c r="Z709" s="3">
        <v>0</v>
      </c>
      <c r="AA709" s="3">
        <v>0</v>
      </c>
      <c r="AB709" s="3">
        <v>0</v>
      </c>
      <c r="AC709" s="3">
        <v>18</v>
      </c>
      <c r="AD709" s="3">
        <v>11</v>
      </c>
      <c r="AE709" s="3">
        <v>14</v>
      </c>
      <c r="AF709" s="3" t="s">
        <v>0</v>
      </c>
      <c r="AG709" s="3" t="s">
        <v>49</v>
      </c>
    </row>
    <row r="710" spans="1:33" ht="63.75" x14ac:dyDescent="0.2">
      <c r="A710" s="5" t="str">
        <f>HYPERLINK("http://www.patentics.cn/invokexml.do?sf=ShowPatent&amp;spn=US8548102&amp;sv=05ae66726dc4fbcd9b707ce9bae33eb2","US8548102")</f>
        <v>US8548102</v>
      </c>
      <c r="B710" s="3" t="s">
        <v>3307</v>
      </c>
      <c r="C710" s="3" t="s">
        <v>3308</v>
      </c>
      <c r="D710" s="3" t="s">
        <v>52</v>
      </c>
      <c r="E710" s="3" t="s">
        <v>52</v>
      </c>
      <c r="F710" s="3" t="s">
        <v>3309</v>
      </c>
      <c r="G710" s="3" t="s">
        <v>3310</v>
      </c>
      <c r="H710" s="3" t="s">
        <v>844</v>
      </c>
      <c r="I710" s="3" t="s">
        <v>844</v>
      </c>
      <c r="J710" s="3" t="s">
        <v>107</v>
      </c>
      <c r="K710" s="3" t="s">
        <v>58</v>
      </c>
      <c r="L710" s="3" t="s">
        <v>3311</v>
      </c>
      <c r="M710" s="3" t="s">
        <v>95</v>
      </c>
      <c r="N710" s="3" t="s">
        <v>3312</v>
      </c>
      <c r="O710" s="3">
        <v>0</v>
      </c>
      <c r="P710" s="3">
        <v>15</v>
      </c>
      <c r="Q710" s="3" t="s">
        <v>60</v>
      </c>
      <c r="R710" s="3" t="s">
        <v>61</v>
      </c>
      <c r="S710" s="3">
        <v>6</v>
      </c>
      <c r="T710" s="3">
        <v>0</v>
      </c>
      <c r="U710" s="3">
        <v>6</v>
      </c>
      <c r="V710" s="3">
        <v>5</v>
      </c>
      <c r="W710" s="3">
        <v>1</v>
      </c>
      <c r="X710" s="3" t="s">
        <v>1232</v>
      </c>
      <c r="Y710" s="3">
        <v>0</v>
      </c>
      <c r="Z710" s="3">
        <v>1</v>
      </c>
      <c r="AA710" s="3">
        <v>1</v>
      </c>
      <c r="AB710" s="3">
        <v>1</v>
      </c>
      <c r="AC710" s="3">
        <v>3</v>
      </c>
      <c r="AD710" s="3">
        <v>3</v>
      </c>
      <c r="AE710" s="3">
        <v>14</v>
      </c>
      <c r="AF710" s="3" t="s">
        <v>0</v>
      </c>
      <c r="AG710" s="3" t="s">
        <v>49</v>
      </c>
    </row>
    <row r="711" spans="1:33" ht="63.75" x14ac:dyDescent="0.2">
      <c r="A711" s="5" t="str">
        <f>HYPERLINK("http://www.patentics.cn/invokexml.do?sf=ShowPatent&amp;spn=WO2009088527&amp;sv=42ab4b8a86a4c8f57f06d83e18218a0c","WO2009088527")</f>
        <v>WO2009088527</v>
      </c>
      <c r="B711" s="3" t="s">
        <v>3313</v>
      </c>
      <c r="C711" s="3" t="s">
        <v>3314</v>
      </c>
      <c r="D711" s="3" t="s">
        <v>3315</v>
      </c>
      <c r="E711" s="3" t="s">
        <v>3316</v>
      </c>
      <c r="F711" s="3" t="s">
        <v>3317</v>
      </c>
      <c r="G711" s="3" t="s">
        <v>3318</v>
      </c>
      <c r="H711" s="3" t="s">
        <v>1342</v>
      </c>
      <c r="I711" s="3" t="s">
        <v>3319</v>
      </c>
      <c r="J711" s="3" t="s">
        <v>3320</v>
      </c>
      <c r="K711" s="3" t="s">
        <v>58</v>
      </c>
      <c r="L711" s="3" t="s">
        <v>326</v>
      </c>
      <c r="M711" s="3" t="s">
        <v>0</v>
      </c>
      <c r="N711" s="3" t="s">
        <v>0</v>
      </c>
      <c r="O711" s="3">
        <v>1</v>
      </c>
      <c r="P711" s="3">
        <v>52</v>
      </c>
      <c r="Q711" s="3" t="s">
        <v>352</v>
      </c>
      <c r="R711" s="3" t="s">
        <v>61</v>
      </c>
      <c r="S711" s="3">
        <v>3</v>
      </c>
      <c r="T711" s="3">
        <v>0</v>
      </c>
      <c r="U711" s="3">
        <v>3</v>
      </c>
      <c r="V711" s="3">
        <v>3</v>
      </c>
      <c r="W711" s="3">
        <v>0</v>
      </c>
      <c r="X711" s="3" t="s">
        <v>147</v>
      </c>
      <c r="Y711" s="3">
        <v>0</v>
      </c>
      <c r="Z711" s="3">
        <v>0</v>
      </c>
      <c r="AA711" s="3">
        <v>0</v>
      </c>
      <c r="AB711" s="3">
        <v>0</v>
      </c>
      <c r="AC711" s="3">
        <v>18</v>
      </c>
      <c r="AD711" s="3">
        <v>11</v>
      </c>
      <c r="AE711" s="3">
        <v>14</v>
      </c>
      <c r="AF711" s="3" t="s">
        <v>0</v>
      </c>
      <c r="AG711" s="3" t="s">
        <v>0</v>
      </c>
    </row>
    <row r="712" spans="1:33" ht="38.25" x14ac:dyDescent="0.2">
      <c r="A712" s="5" t="str">
        <f>HYPERLINK("http://www.patentics.cn/invokexml.do?sf=ShowPatent&amp;spn=TWI364194&amp;sv=319c9f0bc00871c97d9d89d4aeb526ad","TWI364194")</f>
        <v>TWI364194</v>
      </c>
      <c r="B712" s="3" t="s">
        <v>3321</v>
      </c>
      <c r="C712" s="3" t="s">
        <v>3322</v>
      </c>
      <c r="D712" s="3" t="s">
        <v>992</v>
      </c>
      <c r="E712" s="3" t="s">
        <v>338</v>
      </c>
      <c r="F712" s="3" t="s">
        <v>3323</v>
      </c>
      <c r="G712" s="3" t="s">
        <v>3324</v>
      </c>
      <c r="H712" s="3" t="s">
        <v>1342</v>
      </c>
      <c r="I712" s="3" t="s">
        <v>2977</v>
      </c>
      <c r="J712" s="3" t="s">
        <v>2717</v>
      </c>
      <c r="K712" s="3" t="s">
        <v>58</v>
      </c>
      <c r="L712" s="3" t="s">
        <v>3325</v>
      </c>
      <c r="M712" s="3" t="s">
        <v>0</v>
      </c>
      <c r="N712" s="3" t="s">
        <v>0</v>
      </c>
      <c r="O712" s="3">
        <v>48</v>
      </c>
      <c r="P712" s="3">
        <v>10</v>
      </c>
      <c r="Q712" s="3" t="s">
        <v>60</v>
      </c>
      <c r="R712" s="3" t="s">
        <v>61</v>
      </c>
      <c r="S712" s="3">
        <v>1</v>
      </c>
      <c r="T712" s="3">
        <v>0</v>
      </c>
      <c r="U712" s="3">
        <v>1</v>
      </c>
      <c r="V712" s="3">
        <v>1</v>
      </c>
      <c r="W712" s="3">
        <v>0</v>
      </c>
      <c r="X712" s="3" t="s">
        <v>147</v>
      </c>
      <c r="Y712" s="3">
        <v>0</v>
      </c>
      <c r="Z712" s="3">
        <v>0</v>
      </c>
      <c r="AA712" s="3">
        <v>0</v>
      </c>
      <c r="AB712" s="3">
        <v>0</v>
      </c>
      <c r="AC712" s="3">
        <v>18</v>
      </c>
      <c r="AD712" s="3">
        <v>11</v>
      </c>
      <c r="AE712" s="3">
        <v>14</v>
      </c>
      <c r="AF712" s="3" t="s">
        <v>0</v>
      </c>
      <c r="AG712" s="3" t="s">
        <v>0</v>
      </c>
    </row>
    <row r="713" spans="1:33" ht="25.5" x14ac:dyDescent="0.2">
      <c r="A713" s="4" t="str">
        <f>HYPERLINK("http://www.patentics.cn/invokexml.do?sf=ShowPatent&amp;spn=US7873002&amp;sv=ce60caae7f35331b5d1c5e0839f9b2be","US7873002")</f>
        <v>US7873002</v>
      </c>
      <c r="B713" s="2" t="s">
        <v>3326</v>
      </c>
      <c r="C713" s="2" t="s">
        <v>2324</v>
      </c>
      <c r="D713" s="2" t="s">
        <v>346</v>
      </c>
      <c r="E713" s="2" t="s">
        <v>346</v>
      </c>
      <c r="F713" s="2" t="s">
        <v>1314</v>
      </c>
      <c r="G713" s="2" t="s">
        <v>1314</v>
      </c>
      <c r="H713" s="2" t="s">
        <v>2327</v>
      </c>
      <c r="I713" s="2" t="s">
        <v>2328</v>
      </c>
      <c r="J713" s="2" t="s">
        <v>3227</v>
      </c>
      <c r="K713" s="2" t="s">
        <v>82</v>
      </c>
      <c r="L713" s="2" t="s">
        <v>83</v>
      </c>
      <c r="M713" s="2" t="s">
        <v>84</v>
      </c>
      <c r="N713" s="2" t="s">
        <v>3327</v>
      </c>
      <c r="O713" s="2">
        <v>0</v>
      </c>
      <c r="P713" s="2">
        <v>16</v>
      </c>
      <c r="Q713" s="2" t="s">
        <v>60</v>
      </c>
      <c r="R713" s="2" t="s">
        <v>61</v>
      </c>
      <c r="S713" s="2">
        <v>25</v>
      </c>
      <c r="T713" s="2">
        <v>4</v>
      </c>
      <c r="U713" s="2">
        <v>21</v>
      </c>
      <c r="V713" s="2">
        <v>7</v>
      </c>
      <c r="W713" s="2">
        <v>37</v>
      </c>
      <c r="X713" s="2" t="s">
        <v>3328</v>
      </c>
      <c r="Y713" s="2">
        <v>3</v>
      </c>
      <c r="Z713" s="2">
        <v>34</v>
      </c>
      <c r="AA713" s="2">
        <v>11</v>
      </c>
      <c r="AB713" s="2">
        <v>1</v>
      </c>
      <c r="AC713" s="2">
        <v>13</v>
      </c>
      <c r="AD713" s="2">
        <v>6</v>
      </c>
      <c r="AE713" s="2" t="s">
        <v>0</v>
      </c>
      <c r="AF713" s="2">
        <v>4</v>
      </c>
      <c r="AG713" s="2" t="s">
        <v>49</v>
      </c>
    </row>
    <row r="714" spans="1:33" ht="25.5" x14ac:dyDescent="0.2">
      <c r="A714" s="5" t="str">
        <f>HYPERLINK("http://www.patentics.cn/invokexml.do?sf=ShowPatent&amp;spn=US9036538&amp;sv=584cfa081eca28461e2cb239578d29fc","US9036538")</f>
        <v>US9036538</v>
      </c>
      <c r="B714" s="3" t="s">
        <v>205</v>
      </c>
      <c r="C714" s="3" t="s">
        <v>200</v>
      </c>
      <c r="D714" s="3" t="s">
        <v>52</v>
      </c>
      <c r="E714" s="3" t="s">
        <v>52</v>
      </c>
      <c r="F714" s="3" t="s">
        <v>193</v>
      </c>
      <c r="G714" s="3" t="s">
        <v>193</v>
      </c>
      <c r="H714" s="3" t="s">
        <v>201</v>
      </c>
      <c r="I714" s="3" t="s">
        <v>206</v>
      </c>
      <c r="J714" s="3" t="s">
        <v>207</v>
      </c>
      <c r="K714" s="3" t="s">
        <v>82</v>
      </c>
      <c r="L714" s="3" t="s">
        <v>83</v>
      </c>
      <c r="M714" s="3" t="s">
        <v>0</v>
      </c>
      <c r="N714" s="3" t="s">
        <v>0</v>
      </c>
      <c r="O714" s="3">
        <v>0</v>
      </c>
      <c r="P714" s="3">
        <v>14</v>
      </c>
      <c r="Q714" s="3" t="s">
        <v>60</v>
      </c>
      <c r="R714" s="3" t="s">
        <v>61</v>
      </c>
      <c r="S714" s="3">
        <v>1143</v>
      </c>
      <c r="T714" s="3">
        <v>245</v>
      </c>
      <c r="U714" s="3">
        <v>898</v>
      </c>
      <c r="V714" s="3">
        <v>197</v>
      </c>
      <c r="W714" s="3">
        <v>0</v>
      </c>
      <c r="X714" s="3" t="s">
        <v>147</v>
      </c>
      <c r="Y714" s="3">
        <v>0</v>
      </c>
      <c r="Z714" s="3">
        <v>0</v>
      </c>
      <c r="AA714" s="3">
        <v>0</v>
      </c>
      <c r="AB714" s="3">
        <v>0</v>
      </c>
      <c r="AC714" s="3">
        <v>51</v>
      </c>
      <c r="AD714" s="3">
        <v>14</v>
      </c>
      <c r="AE714" s="3">
        <v>14</v>
      </c>
      <c r="AF714" s="3" t="s">
        <v>0</v>
      </c>
      <c r="AG714" s="3" t="s">
        <v>49</v>
      </c>
    </row>
    <row r="715" spans="1:33" ht="140.25" x14ac:dyDescent="0.2">
      <c r="A715" s="5" t="str">
        <f>HYPERLINK("http://www.patentics.cn/invokexml.do?sf=ShowPatent&amp;spn=US9078270&amp;sv=e9da23a292adb673189b1e5a5d3b9f06","US9078270")</f>
        <v>US9078270</v>
      </c>
      <c r="B715" s="3" t="s">
        <v>2331</v>
      </c>
      <c r="C715" s="3" t="s">
        <v>2332</v>
      </c>
      <c r="D715" s="3" t="s">
        <v>52</v>
      </c>
      <c r="E715" s="3" t="s">
        <v>52</v>
      </c>
      <c r="F715" s="3" t="s">
        <v>2333</v>
      </c>
      <c r="G715" s="3" t="s">
        <v>78</v>
      </c>
      <c r="H715" s="3" t="s">
        <v>2334</v>
      </c>
      <c r="I715" s="3" t="s">
        <v>2335</v>
      </c>
      <c r="J715" s="3" t="s">
        <v>1611</v>
      </c>
      <c r="K715" s="3" t="s">
        <v>270</v>
      </c>
      <c r="L715" s="3" t="s">
        <v>2336</v>
      </c>
      <c r="M715" s="3" t="s">
        <v>0</v>
      </c>
      <c r="N715" s="3" t="s">
        <v>0</v>
      </c>
      <c r="O715" s="3">
        <v>0</v>
      </c>
      <c r="P715" s="3">
        <v>11</v>
      </c>
      <c r="Q715" s="3" t="s">
        <v>60</v>
      </c>
      <c r="R715" s="3" t="s">
        <v>61</v>
      </c>
      <c r="S715" s="3">
        <v>36</v>
      </c>
      <c r="T715" s="3">
        <v>1</v>
      </c>
      <c r="U715" s="3">
        <v>35</v>
      </c>
      <c r="V715" s="3">
        <v>25</v>
      </c>
      <c r="W715" s="3">
        <v>0</v>
      </c>
      <c r="X715" s="3" t="s">
        <v>147</v>
      </c>
      <c r="Y715" s="3">
        <v>0</v>
      </c>
      <c r="Z715" s="3">
        <v>0</v>
      </c>
      <c r="AA715" s="3">
        <v>0</v>
      </c>
      <c r="AB715" s="3">
        <v>0</v>
      </c>
      <c r="AC715" s="3">
        <v>13</v>
      </c>
      <c r="AD715" s="3">
        <v>7</v>
      </c>
      <c r="AE715" s="3">
        <v>14</v>
      </c>
      <c r="AF715" s="3" t="s">
        <v>0</v>
      </c>
      <c r="AG715" s="3" t="s">
        <v>49</v>
      </c>
    </row>
    <row r="716" spans="1:33" ht="114.75" x14ac:dyDescent="0.2">
      <c r="A716" s="5" t="str">
        <f>HYPERLINK("http://www.patentics.cn/invokexml.do?sf=ShowPatent&amp;spn=US9461859&amp;sv=027d2fad25d71f90e65c341d65dc5cdd","US9461859")</f>
        <v>US9461859</v>
      </c>
      <c r="B716" s="3" t="s">
        <v>328</v>
      </c>
      <c r="C716" s="3" t="s">
        <v>237</v>
      </c>
      <c r="D716" s="3" t="s">
        <v>52</v>
      </c>
      <c r="E716" s="3" t="s">
        <v>52</v>
      </c>
      <c r="F716" s="3" t="s">
        <v>238</v>
      </c>
      <c r="G716" s="3" t="s">
        <v>112</v>
      </c>
      <c r="H716" s="3" t="s">
        <v>55</v>
      </c>
      <c r="I716" s="3" t="s">
        <v>55</v>
      </c>
      <c r="J716" s="3" t="s">
        <v>329</v>
      </c>
      <c r="K716" s="3" t="s">
        <v>84</v>
      </c>
      <c r="L716" s="3" t="s">
        <v>312</v>
      </c>
      <c r="M716" s="3" t="s">
        <v>58</v>
      </c>
      <c r="N716" s="3" t="s">
        <v>330</v>
      </c>
      <c r="O716" s="3">
        <v>0</v>
      </c>
      <c r="P716" s="3">
        <v>13</v>
      </c>
      <c r="Q716" s="3" t="s">
        <v>60</v>
      </c>
      <c r="R716" s="3" t="s">
        <v>61</v>
      </c>
      <c r="S716" s="3">
        <v>1158</v>
      </c>
      <c r="T716" s="3">
        <v>257</v>
      </c>
      <c r="U716" s="3">
        <v>901</v>
      </c>
      <c r="V716" s="3">
        <v>197</v>
      </c>
      <c r="W716" s="3">
        <v>0</v>
      </c>
      <c r="X716" s="3" t="s">
        <v>147</v>
      </c>
      <c r="Y716" s="3">
        <v>0</v>
      </c>
      <c r="Z716" s="3">
        <v>0</v>
      </c>
      <c r="AA716" s="3">
        <v>0</v>
      </c>
      <c r="AB716" s="3">
        <v>0</v>
      </c>
      <c r="AC716" s="3">
        <v>31</v>
      </c>
      <c r="AD716" s="3">
        <v>18</v>
      </c>
      <c r="AE716" s="3">
        <v>14</v>
      </c>
      <c r="AF716" s="3" t="s">
        <v>0</v>
      </c>
      <c r="AG716" s="3" t="s">
        <v>49</v>
      </c>
    </row>
    <row r="717" spans="1:33" ht="76.5" x14ac:dyDescent="0.2">
      <c r="A717" s="5" t="str">
        <f>HYPERLINK("http://www.patentics.cn/invokexml.do?sf=ShowPatent&amp;spn=US9544782&amp;sv=3afe3c16f6e54a823fac61f27b730619","US9544782")</f>
        <v>US9544782</v>
      </c>
      <c r="B717" s="3" t="s">
        <v>3235</v>
      </c>
      <c r="C717" s="3" t="s">
        <v>3236</v>
      </c>
      <c r="D717" s="3" t="s">
        <v>52</v>
      </c>
      <c r="E717" s="3" t="s">
        <v>52</v>
      </c>
      <c r="F717" s="3" t="s">
        <v>3237</v>
      </c>
      <c r="G717" s="3" t="s">
        <v>3238</v>
      </c>
      <c r="H717" s="3" t="s">
        <v>3239</v>
      </c>
      <c r="I717" s="3" t="s">
        <v>1970</v>
      </c>
      <c r="J717" s="3" t="s">
        <v>861</v>
      </c>
      <c r="K717" s="3" t="s">
        <v>82</v>
      </c>
      <c r="L717" s="3" t="s">
        <v>3240</v>
      </c>
      <c r="M717" s="3" t="s">
        <v>82</v>
      </c>
      <c r="N717" s="3" t="s">
        <v>3241</v>
      </c>
      <c r="O717" s="3">
        <v>0</v>
      </c>
      <c r="P717" s="3">
        <v>9</v>
      </c>
      <c r="Q717" s="3" t="s">
        <v>60</v>
      </c>
      <c r="R717" s="3" t="s">
        <v>61</v>
      </c>
      <c r="S717" s="3">
        <v>69</v>
      </c>
      <c r="T717" s="3">
        <v>6</v>
      </c>
      <c r="U717" s="3">
        <v>63</v>
      </c>
      <c r="V717" s="3">
        <v>27</v>
      </c>
      <c r="W717" s="3">
        <v>0</v>
      </c>
      <c r="X717" s="3" t="s">
        <v>147</v>
      </c>
      <c r="Y717" s="3">
        <v>0</v>
      </c>
      <c r="Z717" s="3">
        <v>0</v>
      </c>
      <c r="AA717" s="3">
        <v>0</v>
      </c>
      <c r="AB717" s="3">
        <v>0</v>
      </c>
      <c r="AC717" s="3">
        <v>6</v>
      </c>
      <c r="AD717" s="3">
        <v>6</v>
      </c>
      <c r="AE717" s="3">
        <v>14</v>
      </c>
      <c r="AF717" s="3" t="s">
        <v>0</v>
      </c>
      <c r="AG717" s="3" t="s">
        <v>49</v>
      </c>
    </row>
    <row r="718" spans="1:33" ht="38.25" x14ac:dyDescent="0.2">
      <c r="A718" s="4" t="str">
        <f>HYPERLINK("http://www.patentics.cn/invokexml.do?sf=ShowPatent&amp;spn=WO2013178111&amp;sv=22fb04de832dae77b1a11f80b98ffc34","WO2013178111")</f>
        <v>WO2013178111</v>
      </c>
      <c r="B718" s="2" t="s">
        <v>3329</v>
      </c>
      <c r="C718" s="2" t="s">
        <v>3330</v>
      </c>
      <c r="D718" s="2" t="s">
        <v>346</v>
      </c>
      <c r="E718" s="2" t="s">
        <v>346</v>
      </c>
      <c r="F718" s="2" t="s">
        <v>3331</v>
      </c>
      <c r="G718" s="2" t="s">
        <v>3332</v>
      </c>
      <c r="H718" s="2" t="s">
        <v>3333</v>
      </c>
      <c r="I718" s="2" t="s">
        <v>1116</v>
      </c>
      <c r="J718" s="2" t="s">
        <v>3334</v>
      </c>
      <c r="K718" s="2" t="s">
        <v>82</v>
      </c>
      <c r="L718" s="2" t="s">
        <v>3335</v>
      </c>
      <c r="M718" s="2" t="s">
        <v>0</v>
      </c>
      <c r="N718" s="2" t="s">
        <v>0</v>
      </c>
      <c r="O718" s="2">
        <v>7</v>
      </c>
      <c r="P718" s="2">
        <v>18</v>
      </c>
      <c r="Q718" s="2" t="s">
        <v>352</v>
      </c>
      <c r="R718" s="2" t="s">
        <v>47</v>
      </c>
      <c r="S718" s="2">
        <v>5</v>
      </c>
      <c r="T718" s="2">
        <v>0</v>
      </c>
      <c r="U718" s="2">
        <v>5</v>
      </c>
      <c r="V718" s="2">
        <v>5</v>
      </c>
      <c r="W718" s="2">
        <v>3</v>
      </c>
      <c r="X718" s="2" t="s">
        <v>1148</v>
      </c>
      <c r="Y718" s="2">
        <v>0</v>
      </c>
      <c r="Z718" s="2">
        <v>3</v>
      </c>
      <c r="AA718" s="2">
        <v>1</v>
      </c>
      <c r="AB718" s="2">
        <v>2</v>
      </c>
      <c r="AC718" s="2">
        <v>1</v>
      </c>
      <c r="AD718" s="2">
        <v>2</v>
      </c>
      <c r="AE718" s="2" t="s">
        <v>0</v>
      </c>
      <c r="AF718" s="2">
        <v>3</v>
      </c>
      <c r="AG718" s="2" t="s">
        <v>0</v>
      </c>
    </row>
    <row r="719" spans="1:33" ht="38.25" x14ac:dyDescent="0.2">
      <c r="A719" s="5" t="str">
        <f>HYPERLINK("http://www.patentics.cn/invokexml.do?sf=ShowPatent&amp;spn=US9155029&amp;sv=eb64785f541d23ce502be11b59bf7e1a","US9155029")</f>
        <v>US9155029</v>
      </c>
      <c r="B719" s="3" t="s">
        <v>3336</v>
      </c>
      <c r="C719" s="3" t="s">
        <v>3337</v>
      </c>
      <c r="D719" s="3" t="s">
        <v>52</v>
      </c>
      <c r="E719" s="3" t="s">
        <v>52</v>
      </c>
      <c r="F719" s="3" t="s">
        <v>2846</v>
      </c>
      <c r="G719" s="3" t="s">
        <v>2846</v>
      </c>
      <c r="H719" s="3" t="s">
        <v>3338</v>
      </c>
      <c r="I719" s="3" t="s">
        <v>3338</v>
      </c>
      <c r="J719" s="3" t="s">
        <v>256</v>
      </c>
      <c r="K719" s="3" t="s">
        <v>82</v>
      </c>
      <c r="L719" s="3" t="s">
        <v>83</v>
      </c>
      <c r="M719" s="3" t="s">
        <v>82</v>
      </c>
      <c r="N719" s="3" t="s">
        <v>807</v>
      </c>
      <c r="O719" s="3">
        <v>0</v>
      </c>
      <c r="P719" s="3">
        <v>8</v>
      </c>
      <c r="Q719" s="3" t="s">
        <v>60</v>
      </c>
      <c r="R719" s="3" t="s">
        <v>61</v>
      </c>
      <c r="S719" s="3">
        <v>19</v>
      </c>
      <c r="T719" s="3">
        <v>0</v>
      </c>
      <c r="U719" s="3">
        <v>19</v>
      </c>
      <c r="V719" s="3">
        <v>12</v>
      </c>
      <c r="W719" s="3">
        <v>0</v>
      </c>
      <c r="X719" s="3" t="s">
        <v>147</v>
      </c>
      <c r="Y719" s="3">
        <v>0</v>
      </c>
      <c r="Z719" s="3">
        <v>0</v>
      </c>
      <c r="AA719" s="3">
        <v>0</v>
      </c>
      <c r="AB719" s="3">
        <v>0</v>
      </c>
      <c r="AC719" s="3">
        <v>8</v>
      </c>
      <c r="AD719" s="3">
        <v>6</v>
      </c>
      <c r="AE719" s="3">
        <v>14</v>
      </c>
      <c r="AF719" s="3" t="s">
        <v>0</v>
      </c>
      <c r="AG719" s="3" t="s">
        <v>49</v>
      </c>
    </row>
    <row r="720" spans="1:33" ht="38.25" x14ac:dyDescent="0.2">
      <c r="A720" s="5" t="str">
        <f>HYPERLINK("http://www.patentics.cn/invokexml.do?sf=ShowPatent&amp;spn=US9526067&amp;sv=6faa9168c7208e755be6cf642890513a","US9526067")</f>
        <v>US9526067</v>
      </c>
      <c r="B720" s="3" t="s">
        <v>3339</v>
      </c>
      <c r="C720" s="3" t="s">
        <v>3337</v>
      </c>
      <c r="D720" s="3" t="s">
        <v>52</v>
      </c>
      <c r="E720" s="3" t="s">
        <v>52</v>
      </c>
      <c r="F720" s="3" t="s">
        <v>2846</v>
      </c>
      <c r="G720" s="3" t="s">
        <v>2846</v>
      </c>
      <c r="H720" s="3" t="s">
        <v>3338</v>
      </c>
      <c r="I720" s="3" t="s">
        <v>3340</v>
      </c>
      <c r="J720" s="3" t="s">
        <v>3341</v>
      </c>
      <c r="K720" s="3" t="s">
        <v>82</v>
      </c>
      <c r="L720" s="3" t="s">
        <v>83</v>
      </c>
      <c r="M720" s="3" t="s">
        <v>82</v>
      </c>
      <c r="N720" s="3" t="s">
        <v>2253</v>
      </c>
      <c r="O720" s="3">
        <v>0</v>
      </c>
      <c r="P720" s="3">
        <v>6</v>
      </c>
      <c r="Q720" s="3" t="s">
        <v>60</v>
      </c>
      <c r="R720" s="3" t="s">
        <v>61</v>
      </c>
      <c r="S720" s="3">
        <v>32</v>
      </c>
      <c r="T720" s="3">
        <v>1</v>
      </c>
      <c r="U720" s="3">
        <v>31</v>
      </c>
      <c r="V720" s="3">
        <v>19</v>
      </c>
      <c r="W720" s="3">
        <v>0</v>
      </c>
      <c r="X720" s="3" t="s">
        <v>147</v>
      </c>
      <c r="Y720" s="3">
        <v>0</v>
      </c>
      <c r="Z720" s="3">
        <v>0</v>
      </c>
      <c r="AA720" s="3">
        <v>0</v>
      </c>
      <c r="AB720" s="3">
        <v>0</v>
      </c>
      <c r="AC720" s="3">
        <v>8</v>
      </c>
      <c r="AD720" s="3">
        <v>6</v>
      </c>
      <c r="AE720" s="3">
        <v>14</v>
      </c>
      <c r="AF720" s="3" t="s">
        <v>0</v>
      </c>
      <c r="AG720" s="3" t="s">
        <v>49</v>
      </c>
    </row>
    <row r="721" spans="1:33" ht="25.5" x14ac:dyDescent="0.2">
      <c r="A721" s="5" t="str">
        <f>HYPERLINK("http://www.patentics.cn/invokexml.do?sf=ShowPatent&amp;spn=WO2014163889&amp;sv=184692ad044994e8a2d2308edfbbc12d","WO2014163889")</f>
        <v>WO2014163889</v>
      </c>
      <c r="B721" s="3" t="s">
        <v>3342</v>
      </c>
      <c r="C721" s="3" t="s">
        <v>3337</v>
      </c>
      <c r="D721" s="3" t="s">
        <v>52</v>
      </c>
      <c r="E721" s="3" t="s">
        <v>52</v>
      </c>
      <c r="F721" s="3" t="s">
        <v>2861</v>
      </c>
      <c r="G721" s="3" t="s">
        <v>2861</v>
      </c>
      <c r="H721" s="3" t="s">
        <v>3338</v>
      </c>
      <c r="I721" s="3" t="s">
        <v>3343</v>
      </c>
      <c r="J721" s="3" t="s">
        <v>3344</v>
      </c>
      <c r="K721" s="3" t="s">
        <v>82</v>
      </c>
      <c r="L721" s="3" t="s">
        <v>3345</v>
      </c>
      <c r="M721" s="3" t="s">
        <v>0</v>
      </c>
      <c r="N721" s="3" t="s">
        <v>0</v>
      </c>
      <c r="O721" s="3">
        <v>71</v>
      </c>
      <c r="P721" s="3">
        <v>8</v>
      </c>
      <c r="Q721" s="3" t="s">
        <v>352</v>
      </c>
      <c r="R721" s="3" t="s">
        <v>61</v>
      </c>
      <c r="S721" s="3">
        <v>10</v>
      </c>
      <c r="T721" s="3">
        <v>0</v>
      </c>
      <c r="U721" s="3">
        <v>10</v>
      </c>
      <c r="V721" s="3">
        <v>7</v>
      </c>
      <c r="W721" s="3">
        <v>0</v>
      </c>
      <c r="X721" s="3" t="s">
        <v>147</v>
      </c>
      <c r="Y721" s="3">
        <v>0</v>
      </c>
      <c r="Z721" s="3">
        <v>0</v>
      </c>
      <c r="AA721" s="3">
        <v>0</v>
      </c>
      <c r="AB721" s="3">
        <v>0</v>
      </c>
      <c r="AC721" s="3">
        <v>8</v>
      </c>
      <c r="AD721" s="3">
        <v>6</v>
      </c>
      <c r="AE721" s="3">
        <v>14</v>
      </c>
      <c r="AF721" s="3" t="s">
        <v>0</v>
      </c>
      <c r="AG721" s="3" t="s">
        <v>0</v>
      </c>
    </row>
    <row r="722" spans="1:33" ht="38.25" x14ac:dyDescent="0.2">
      <c r="A722" s="4" t="str">
        <f>HYPERLINK("http://www.patentics.cn/invokexml.do?sf=ShowPatent&amp;spn=WO2012065413&amp;sv=c65df6d323eda9a733e2412d3ca4c93e","WO2012065413")</f>
        <v>WO2012065413</v>
      </c>
      <c r="B722" s="2" t="s">
        <v>3346</v>
      </c>
      <c r="C722" s="2" t="s">
        <v>3347</v>
      </c>
      <c r="D722" s="2" t="s">
        <v>3348</v>
      </c>
      <c r="E722" s="2" t="s">
        <v>3348</v>
      </c>
      <c r="F722" s="2" t="s">
        <v>3349</v>
      </c>
      <c r="G722" s="2" t="s">
        <v>2087</v>
      </c>
      <c r="H722" s="2" t="s">
        <v>3350</v>
      </c>
      <c r="I722" s="2" t="s">
        <v>3351</v>
      </c>
      <c r="J722" s="2" t="s">
        <v>3283</v>
      </c>
      <c r="K722" s="2" t="s">
        <v>82</v>
      </c>
      <c r="L722" s="2" t="s">
        <v>3352</v>
      </c>
      <c r="M722" s="2" t="s">
        <v>0</v>
      </c>
      <c r="N722" s="2" t="s">
        <v>0</v>
      </c>
      <c r="O722" s="2">
        <v>5</v>
      </c>
      <c r="P722" s="2">
        <v>33</v>
      </c>
      <c r="Q722" s="2" t="s">
        <v>352</v>
      </c>
      <c r="R722" s="2" t="s">
        <v>47</v>
      </c>
      <c r="S722" s="2">
        <v>4</v>
      </c>
      <c r="T722" s="2">
        <v>0</v>
      </c>
      <c r="U722" s="2">
        <v>4</v>
      </c>
      <c r="V722" s="2">
        <v>3</v>
      </c>
      <c r="W722" s="2">
        <v>3</v>
      </c>
      <c r="X722" s="2" t="s">
        <v>3353</v>
      </c>
      <c r="Y722" s="2">
        <v>0</v>
      </c>
      <c r="Z722" s="2">
        <v>3</v>
      </c>
      <c r="AA722" s="2">
        <v>1</v>
      </c>
      <c r="AB722" s="2">
        <v>2</v>
      </c>
      <c r="AC722" s="2">
        <v>2</v>
      </c>
      <c r="AD722" s="2">
        <v>2</v>
      </c>
      <c r="AE722" s="2" t="s">
        <v>0</v>
      </c>
      <c r="AF722" s="2">
        <v>3</v>
      </c>
      <c r="AG722" s="2" t="s">
        <v>0</v>
      </c>
    </row>
    <row r="723" spans="1:33" ht="102" x14ac:dyDescent="0.2">
      <c r="A723" s="5" t="str">
        <f>HYPERLINK("http://www.patentics.cn/invokexml.do?sf=ShowPatent&amp;spn=US9078146&amp;sv=44b080a3cf01f7bbfddd028c39472ea1","US9078146")</f>
        <v>US9078146</v>
      </c>
      <c r="B723" s="3" t="s">
        <v>3354</v>
      </c>
      <c r="C723" s="3" t="s">
        <v>3355</v>
      </c>
      <c r="D723" s="3" t="s">
        <v>52</v>
      </c>
      <c r="E723" s="3" t="s">
        <v>52</v>
      </c>
      <c r="F723" s="3" t="s">
        <v>3356</v>
      </c>
      <c r="G723" s="3" t="s">
        <v>3357</v>
      </c>
      <c r="H723" s="3" t="s">
        <v>3358</v>
      </c>
      <c r="I723" s="3" t="s">
        <v>3359</v>
      </c>
      <c r="J723" s="3" t="s">
        <v>1611</v>
      </c>
      <c r="K723" s="3" t="s">
        <v>82</v>
      </c>
      <c r="L723" s="3" t="s">
        <v>2082</v>
      </c>
      <c r="M723" s="3" t="s">
        <v>0</v>
      </c>
      <c r="N723" s="3" t="s">
        <v>0</v>
      </c>
      <c r="O723" s="3">
        <v>0</v>
      </c>
      <c r="P723" s="3">
        <v>12</v>
      </c>
      <c r="Q723" s="3" t="s">
        <v>60</v>
      </c>
      <c r="R723" s="3" t="s">
        <v>61</v>
      </c>
      <c r="S723" s="3">
        <v>14</v>
      </c>
      <c r="T723" s="3">
        <v>1</v>
      </c>
      <c r="U723" s="3">
        <v>13</v>
      </c>
      <c r="V723" s="3">
        <v>8</v>
      </c>
      <c r="W723" s="3">
        <v>1</v>
      </c>
      <c r="X723" s="3" t="s">
        <v>189</v>
      </c>
      <c r="Y723" s="3">
        <v>0</v>
      </c>
      <c r="Z723" s="3">
        <v>1</v>
      </c>
      <c r="AA723" s="3">
        <v>1</v>
      </c>
      <c r="AB723" s="3">
        <v>1</v>
      </c>
      <c r="AC723" s="3">
        <v>5</v>
      </c>
      <c r="AD723" s="3">
        <v>5</v>
      </c>
      <c r="AE723" s="3">
        <v>14</v>
      </c>
      <c r="AF723" s="3" t="s">
        <v>0</v>
      </c>
      <c r="AG723" s="3" t="s">
        <v>49</v>
      </c>
    </row>
    <row r="724" spans="1:33" ht="76.5" x14ac:dyDescent="0.2">
      <c r="A724" s="5" t="str">
        <f>HYPERLINK("http://www.patentics.cn/invokexml.do?sf=ShowPatent&amp;spn=WO2014040069&amp;sv=42f4b14b3fe61c9777798ebedab1497d","WO2014040069")</f>
        <v>WO2014040069</v>
      </c>
      <c r="B724" s="3" t="s">
        <v>3360</v>
      </c>
      <c r="C724" s="3" t="s">
        <v>3361</v>
      </c>
      <c r="D724" s="3" t="s">
        <v>52</v>
      </c>
      <c r="E724" s="3" t="s">
        <v>52</v>
      </c>
      <c r="F724" s="3" t="s">
        <v>3362</v>
      </c>
      <c r="G724" s="3" t="s">
        <v>3363</v>
      </c>
      <c r="H724" s="3" t="s">
        <v>3358</v>
      </c>
      <c r="I724" s="3" t="s">
        <v>1337</v>
      </c>
      <c r="J724" s="3" t="s">
        <v>3364</v>
      </c>
      <c r="K724" s="3" t="s">
        <v>70</v>
      </c>
      <c r="L724" s="3" t="s">
        <v>71</v>
      </c>
      <c r="M724" s="3" t="s">
        <v>0</v>
      </c>
      <c r="N724" s="3" t="s">
        <v>0</v>
      </c>
      <c r="O724" s="3">
        <v>26</v>
      </c>
      <c r="P724" s="3">
        <v>16</v>
      </c>
      <c r="Q724" s="3" t="s">
        <v>352</v>
      </c>
      <c r="R724" s="3" t="s">
        <v>61</v>
      </c>
      <c r="S724" s="3">
        <v>3</v>
      </c>
      <c r="T724" s="3">
        <v>0</v>
      </c>
      <c r="U724" s="3">
        <v>3</v>
      </c>
      <c r="V724" s="3">
        <v>2</v>
      </c>
      <c r="W724" s="3">
        <v>0</v>
      </c>
      <c r="X724" s="3" t="s">
        <v>147</v>
      </c>
      <c r="Y724" s="3">
        <v>0</v>
      </c>
      <c r="Z724" s="3">
        <v>0</v>
      </c>
      <c r="AA724" s="3">
        <v>0</v>
      </c>
      <c r="AB724" s="3">
        <v>0</v>
      </c>
      <c r="AC724" s="3">
        <v>5</v>
      </c>
      <c r="AD724" s="3">
        <v>5</v>
      </c>
      <c r="AE724" s="3">
        <v>14</v>
      </c>
      <c r="AF724" s="3" t="s">
        <v>0</v>
      </c>
      <c r="AG724" s="3" t="s">
        <v>0</v>
      </c>
    </row>
    <row r="725" spans="1:33" ht="102" x14ac:dyDescent="0.2">
      <c r="A725" s="5" t="str">
        <f>HYPERLINK("http://www.patentics.cn/invokexml.do?sf=ShowPatent&amp;spn=WO2014040069A3&amp;sv=a2773ef93085a3639538a1e61e46d07e","WO2014040069A3")</f>
        <v>WO2014040069A3</v>
      </c>
      <c r="B725" s="3" t="s">
        <v>3365</v>
      </c>
      <c r="C725" s="3" t="s">
        <v>3366</v>
      </c>
      <c r="D725" s="3" t="s">
        <v>52</v>
      </c>
      <c r="E725" s="3" t="s">
        <v>52</v>
      </c>
      <c r="F725" s="3" t="s">
        <v>3367</v>
      </c>
      <c r="G725" s="3" t="s">
        <v>3368</v>
      </c>
      <c r="H725" s="3" t="s">
        <v>3358</v>
      </c>
      <c r="I725" s="3" t="s">
        <v>3358</v>
      </c>
      <c r="J725" s="3" t="s">
        <v>3369</v>
      </c>
      <c r="K725" s="3" t="s">
        <v>70</v>
      </c>
      <c r="L725" s="3" t="s">
        <v>71</v>
      </c>
      <c r="M725" s="3" t="s">
        <v>70</v>
      </c>
      <c r="N725" s="3" t="s">
        <v>70</v>
      </c>
      <c r="O725" s="3">
        <v>0</v>
      </c>
      <c r="P725" s="3">
        <v>0</v>
      </c>
      <c r="Q725" s="3" t="s">
        <v>352</v>
      </c>
      <c r="R725" s="3" t="s">
        <v>1387</v>
      </c>
      <c r="S725" s="3">
        <v>3</v>
      </c>
      <c r="T725" s="3">
        <v>0</v>
      </c>
      <c r="U725" s="3">
        <v>3</v>
      </c>
      <c r="V725" s="3">
        <v>2</v>
      </c>
      <c r="W725" s="3">
        <v>0</v>
      </c>
      <c r="X725" s="3" t="s">
        <v>147</v>
      </c>
      <c r="Y725" s="3">
        <v>0</v>
      </c>
      <c r="Z725" s="3">
        <v>0</v>
      </c>
      <c r="AA725" s="3">
        <v>0</v>
      </c>
      <c r="AB725" s="3">
        <v>0</v>
      </c>
      <c r="AC725" s="3">
        <v>0</v>
      </c>
      <c r="AD725" s="3">
        <v>0</v>
      </c>
      <c r="AE725" s="3">
        <v>14</v>
      </c>
      <c r="AF725" s="3" t="s">
        <v>0</v>
      </c>
      <c r="AG725" s="3" t="s">
        <v>0</v>
      </c>
    </row>
    <row r="726" spans="1:33" ht="25.5" x14ac:dyDescent="0.2">
      <c r="A726" s="4" t="str">
        <f>HYPERLINK("http://www.patentics.cn/invokexml.do?sf=ShowPatent&amp;spn=WO2012009886&amp;sv=58ab11b6e188131f80da07af2b65b207","WO2012009886")</f>
        <v>WO2012009886</v>
      </c>
      <c r="B726" s="2" t="s">
        <v>3370</v>
      </c>
      <c r="C726" s="2" t="s">
        <v>3371</v>
      </c>
      <c r="D726" s="2" t="s">
        <v>3372</v>
      </c>
      <c r="E726" s="2" t="s">
        <v>3372</v>
      </c>
      <c r="F726" s="2" t="s">
        <v>3373</v>
      </c>
      <c r="G726" s="2" t="s">
        <v>3374</v>
      </c>
      <c r="H726" s="2" t="s">
        <v>732</v>
      </c>
      <c r="I726" s="2" t="s">
        <v>1465</v>
      </c>
      <c r="J726" s="2" t="s">
        <v>3375</v>
      </c>
      <c r="K726" s="2" t="s">
        <v>82</v>
      </c>
      <c r="L726" s="2" t="s">
        <v>3335</v>
      </c>
      <c r="M726" s="2" t="s">
        <v>0</v>
      </c>
      <c r="N726" s="2" t="s">
        <v>0</v>
      </c>
      <c r="O726" s="2">
        <v>8</v>
      </c>
      <c r="P726" s="2">
        <v>10</v>
      </c>
      <c r="Q726" s="2" t="s">
        <v>352</v>
      </c>
      <c r="R726" s="2" t="s">
        <v>47</v>
      </c>
      <c r="S726" s="2">
        <v>3</v>
      </c>
      <c r="T726" s="2">
        <v>0</v>
      </c>
      <c r="U726" s="2">
        <v>3</v>
      </c>
      <c r="V726" s="2">
        <v>3</v>
      </c>
      <c r="W726" s="2">
        <v>3</v>
      </c>
      <c r="X726" s="2" t="s">
        <v>1232</v>
      </c>
      <c r="Y726" s="2">
        <v>0</v>
      </c>
      <c r="Z726" s="2">
        <v>3</v>
      </c>
      <c r="AA726" s="2">
        <v>1</v>
      </c>
      <c r="AB726" s="2">
        <v>1</v>
      </c>
      <c r="AC726" s="2">
        <v>3</v>
      </c>
      <c r="AD726" s="2">
        <v>4</v>
      </c>
      <c r="AE726" s="2" t="s">
        <v>0</v>
      </c>
      <c r="AF726" s="2">
        <v>3</v>
      </c>
      <c r="AG726" s="2" t="s">
        <v>0</v>
      </c>
    </row>
    <row r="727" spans="1:33" ht="127.5" x14ac:dyDescent="0.2">
      <c r="A727" s="5" t="str">
        <f>HYPERLINK("http://www.patentics.cn/invokexml.do?sf=ShowPatent&amp;spn=US9148489&amp;sv=9fe081c2fa9b535e05d3aca059590778","US9148489")</f>
        <v>US9148489</v>
      </c>
      <c r="B727" s="3" t="s">
        <v>3376</v>
      </c>
      <c r="C727" s="3" t="s">
        <v>3377</v>
      </c>
      <c r="D727" s="3" t="s">
        <v>52</v>
      </c>
      <c r="E727" s="3" t="s">
        <v>52</v>
      </c>
      <c r="F727" s="3" t="s">
        <v>3378</v>
      </c>
      <c r="G727" s="3" t="s">
        <v>2644</v>
      </c>
      <c r="H727" s="3" t="s">
        <v>3379</v>
      </c>
      <c r="I727" s="3" t="s">
        <v>3379</v>
      </c>
      <c r="J727" s="3" t="s">
        <v>248</v>
      </c>
      <c r="K727" s="3" t="s">
        <v>58</v>
      </c>
      <c r="L727" s="3" t="s">
        <v>3167</v>
      </c>
      <c r="M727" s="3" t="s">
        <v>58</v>
      </c>
      <c r="N727" s="3" t="s">
        <v>3380</v>
      </c>
      <c r="O727" s="3">
        <v>0</v>
      </c>
      <c r="P727" s="3">
        <v>12</v>
      </c>
      <c r="Q727" s="3" t="s">
        <v>60</v>
      </c>
      <c r="R727" s="3" t="s">
        <v>61</v>
      </c>
      <c r="S727" s="3">
        <v>36</v>
      </c>
      <c r="T727" s="3">
        <v>2</v>
      </c>
      <c r="U727" s="3">
        <v>34</v>
      </c>
      <c r="V727" s="3">
        <v>22</v>
      </c>
      <c r="W727" s="3">
        <v>0</v>
      </c>
      <c r="X727" s="3" t="s">
        <v>147</v>
      </c>
      <c r="Y727" s="3">
        <v>0</v>
      </c>
      <c r="Z727" s="3">
        <v>0</v>
      </c>
      <c r="AA727" s="3">
        <v>0</v>
      </c>
      <c r="AB727" s="3">
        <v>0</v>
      </c>
      <c r="AC727" s="3">
        <v>10</v>
      </c>
      <c r="AD727" s="3">
        <v>6</v>
      </c>
      <c r="AE727" s="3">
        <v>14</v>
      </c>
      <c r="AF727" s="3" t="s">
        <v>0</v>
      </c>
      <c r="AG727" s="3" t="s">
        <v>49</v>
      </c>
    </row>
    <row r="728" spans="1:33" ht="140.25" x14ac:dyDescent="0.2">
      <c r="A728" s="5" t="str">
        <f>HYPERLINK("http://www.patentics.cn/invokexml.do?sf=ShowPatent&amp;spn=US9497287&amp;sv=50e9c0e3d38f0db48f5ac0d47b648312","US9497287")</f>
        <v>US9497287</v>
      </c>
      <c r="B728" s="3" t="s">
        <v>3381</v>
      </c>
      <c r="C728" s="3" t="s">
        <v>3377</v>
      </c>
      <c r="D728" s="3" t="s">
        <v>52</v>
      </c>
      <c r="E728" s="3" t="s">
        <v>52</v>
      </c>
      <c r="F728" s="3" t="s">
        <v>3382</v>
      </c>
      <c r="G728" s="3" t="s">
        <v>2644</v>
      </c>
      <c r="H728" s="3" t="s">
        <v>3379</v>
      </c>
      <c r="I728" s="3" t="s">
        <v>3383</v>
      </c>
      <c r="J728" s="3" t="s">
        <v>1677</v>
      </c>
      <c r="K728" s="3" t="s">
        <v>58</v>
      </c>
      <c r="L728" s="3" t="s">
        <v>613</v>
      </c>
      <c r="M728" s="3" t="s">
        <v>58</v>
      </c>
      <c r="N728" s="3" t="s">
        <v>3380</v>
      </c>
      <c r="O728" s="3">
        <v>0</v>
      </c>
      <c r="P728" s="3">
        <v>14</v>
      </c>
      <c r="Q728" s="3" t="s">
        <v>60</v>
      </c>
      <c r="R728" s="3" t="s">
        <v>61</v>
      </c>
      <c r="S728" s="3">
        <v>44</v>
      </c>
      <c r="T728" s="3">
        <v>5</v>
      </c>
      <c r="U728" s="3">
        <v>39</v>
      </c>
      <c r="V728" s="3">
        <v>26</v>
      </c>
      <c r="W728" s="3">
        <v>0</v>
      </c>
      <c r="X728" s="3" t="s">
        <v>147</v>
      </c>
      <c r="Y728" s="3">
        <v>0</v>
      </c>
      <c r="Z728" s="3">
        <v>0</v>
      </c>
      <c r="AA728" s="3">
        <v>0</v>
      </c>
      <c r="AB728" s="3">
        <v>0</v>
      </c>
      <c r="AC728" s="3">
        <v>10</v>
      </c>
      <c r="AD728" s="3">
        <v>6</v>
      </c>
      <c r="AE728" s="3">
        <v>14</v>
      </c>
      <c r="AF728" s="3" t="s">
        <v>0</v>
      </c>
      <c r="AG728" s="3" t="s">
        <v>49</v>
      </c>
    </row>
    <row r="729" spans="1:33" ht="76.5" x14ac:dyDescent="0.2">
      <c r="A729" s="5" t="str">
        <f>HYPERLINK("http://www.patentics.cn/invokexml.do?sf=ShowPatent&amp;spn=US9622275&amp;sv=0543be9b107e7517895c17eb14cb536d","US9622275")</f>
        <v>US9622275</v>
      </c>
      <c r="B729" s="3" t="s">
        <v>3384</v>
      </c>
      <c r="C729" s="3" t="s">
        <v>3385</v>
      </c>
      <c r="D729" s="3" t="s">
        <v>52</v>
      </c>
      <c r="E729" s="3" t="s">
        <v>52</v>
      </c>
      <c r="F729" s="3" t="s">
        <v>3386</v>
      </c>
      <c r="G729" s="3" t="s">
        <v>2644</v>
      </c>
      <c r="H729" s="3" t="s">
        <v>0</v>
      </c>
      <c r="I729" s="3" t="s">
        <v>3387</v>
      </c>
      <c r="J729" s="3" t="s">
        <v>3388</v>
      </c>
      <c r="K729" s="3" t="s">
        <v>82</v>
      </c>
      <c r="L729" s="3" t="s">
        <v>2015</v>
      </c>
      <c r="M729" s="3" t="s">
        <v>82</v>
      </c>
      <c r="N729" s="3" t="s">
        <v>1415</v>
      </c>
      <c r="O729" s="3">
        <v>0</v>
      </c>
      <c r="P729" s="3">
        <v>21</v>
      </c>
      <c r="Q729" s="3" t="s">
        <v>60</v>
      </c>
      <c r="R729" s="3" t="s">
        <v>61</v>
      </c>
      <c r="S729" s="3">
        <v>37</v>
      </c>
      <c r="T729" s="3">
        <v>2</v>
      </c>
      <c r="U729" s="3">
        <v>35</v>
      </c>
      <c r="V729" s="3">
        <v>23</v>
      </c>
      <c r="W729" s="3">
        <v>0</v>
      </c>
      <c r="X729" s="3" t="s">
        <v>147</v>
      </c>
      <c r="Y729" s="3">
        <v>0</v>
      </c>
      <c r="Z729" s="3">
        <v>0</v>
      </c>
      <c r="AA729" s="3">
        <v>0</v>
      </c>
      <c r="AB729" s="3">
        <v>0</v>
      </c>
      <c r="AC729" s="3">
        <v>0</v>
      </c>
      <c r="AD729" s="3">
        <v>0</v>
      </c>
      <c r="AE729" s="3">
        <v>14</v>
      </c>
      <c r="AF729" s="3" t="s">
        <v>0</v>
      </c>
      <c r="AG729" s="3" t="s">
        <v>49</v>
      </c>
    </row>
    <row r="730" spans="1:33" ht="51" x14ac:dyDescent="0.2">
      <c r="A730" s="4" t="str">
        <f>HYPERLINK("http://www.patentics.cn/invokexml.do?sf=ShowPatent&amp;spn=WO2011079574&amp;sv=c58ab021c032ee84cdd2be59602aff5b","WO2011079574")</f>
        <v>WO2011079574</v>
      </c>
      <c r="B730" s="2" t="s">
        <v>3389</v>
      </c>
      <c r="C730" s="2" t="s">
        <v>3390</v>
      </c>
      <c r="D730" s="2" t="s">
        <v>1394</v>
      </c>
      <c r="E730" s="2" t="s">
        <v>1394</v>
      </c>
      <c r="F730" s="2" t="s">
        <v>3391</v>
      </c>
      <c r="G730" s="2" t="s">
        <v>3391</v>
      </c>
      <c r="H730" s="2" t="s">
        <v>3392</v>
      </c>
      <c r="I730" s="2" t="s">
        <v>3393</v>
      </c>
      <c r="J730" s="2" t="s">
        <v>182</v>
      </c>
      <c r="K730" s="2" t="s">
        <v>82</v>
      </c>
      <c r="L730" s="2" t="s">
        <v>2015</v>
      </c>
      <c r="M730" s="2" t="s">
        <v>0</v>
      </c>
      <c r="N730" s="2" t="s">
        <v>0</v>
      </c>
      <c r="O730" s="2">
        <v>4</v>
      </c>
      <c r="P730" s="2">
        <v>36</v>
      </c>
      <c r="Q730" s="2" t="s">
        <v>352</v>
      </c>
      <c r="R730" s="2" t="s">
        <v>47</v>
      </c>
      <c r="S730" s="2">
        <v>3</v>
      </c>
      <c r="T730" s="2">
        <v>0</v>
      </c>
      <c r="U730" s="2">
        <v>3</v>
      </c>
      <c r="V730" s="2">
        <v>2</v>
      </c>
      <c r="W730" s="2">
        <v>3</v>
      </c>
      <c r="X730" s="2" t="s">
        <v>3394</v>
      </c>
      <c r="Y730" s="2">
        <v>0</v>
      </c>
      <c r="Z730" s="2">
        <v>3</v>
      </c>
      <c r="AA730" s="2">
        <v>1</v>
      </c>
      <c r="AB730" s="2">
        <v>3</v>
      </c>
      <c r="AC730" s="2">
        <v>1</v>
      </c>
      <c r="AD730" s="2">
        <v>2</v>
      </c>
      <c r="AE730" s="2" t="s">
        <v>0</v>
      </c>
      <c r="AF730" s="2">
        <v>3</v>
      </c>
      <c r="AG730" s="2" t="s">
        <v>0</v>
      </c>
    </row>
    <row r="731" spans="1:33" ht="114.75" x14ac:dyDescent="0.2">
      <c r="A731" s="5" t="str">
        <f>HYPERLINK("http://www.patentics.cn/invokexml.do?sf=ShowPatent&amp;spn=US9173190&amp;sv=318a7998e0aa791a173abe7e62cd8987","US9173190")</f>
        <v>US9173190</v>
      </c>
      <c r="B731" s="3" t="s">
        <v>3395</v>
      </c>
      <c r="C731" s="3" t="s">
        <v>3396</v>
      </c>
      <c r="D731" s="3" t="s">
        <v>52</v>
      </c>
      <c r="E731" s="3" t="s">
        <v>52</v>
      </c>
      <c r="F731" s="3" t="s">
        <v>3397</v>
      </c>
      <c r="G731" s="3" t="s">
        <v>288</v>
      </c>
      <c r="H731" s="3" t="s">
        <v>3398</v>
      </c>
      <c r="I731" s="3" t="s">
        <v>3398</v>
      </c>
      <c r="J731" s="3" t="s">
        <v>263</v>
      </c>
      <c r="K731" s="3" t="s">
        <v>84</v>
      </c>
      <c r="L731" s="3" t="s">
        <v>163</v>
      </c>
      <c r="M731" s="3" t="s">
        <v>82</v>
      </c>
      <c r="N731" s="3" t="s">
        <v>1473</v>
      </c>
      <c r="O731" s="3">
        <v>0</v>
      </c>
      <c r="P731" s="3">
        <v>11</v>
      </c>
      <c r="Q731" s="3" t="s">
        <v>60</v>
      </c>
      <c r="R731" s="3" t="s">
        <v>61</v>
      </c>
      <c r="S731" s="3">
        <v>17</v>
      </c>
      <c r="T731" s="3">
        <v>2</v>
      </c>
      <c r="U731" s="3">
        <v>15</v>
      </c>
      <c r="V731" s="3">
        <v>9</v>
      </c>
      <c r="W731" s="3">
        <v>0</v>
      </c>
      <c r="X731" s="3" t="s">
        <v>147</v>
      </c>
      <c r="Y731" s="3">
        <v>0</v>
      </c>
      <c r="Z731" s="3">
        <v>0</v>
      </c>
      <c r="AA731" s="3">
        <v>0</v>
      </c>
      <c r="AB731" s="3">
        <v>0</v>
      </c>
      <c r="AC731" s="3">
        <v>6</v>
      </c>
      <c r="AD731" s="3">
        <v>6</v>
      </c>
      <c r="AE731" s="3">
        <v>14</v>
      </c>
      <c r="AF731" s="3" t="s">
        <v>0</v>
      </c>
      <c r="AG731" s="3" t="s">
        <v>49</v>
      </c>
    </row>
    <row r="732" spans="1:33" ht="102" x14ac:dyDescent="0.2">
      <c r="A732" s="5" t="str">
        <f>HYPERLINK("http://www.patentics.cn/invokexml.do?sf=ShowPatent&amp;spn=WO2014005057&amp;sv=fd1a33d472992a0f4afda49046b78c91","WO2014005057")</f>
        <v>WO2014005057</v>
      </c>
      <c r="B732" s="3" t="s">
        <v>3399</v>
      </c>
      <c r="C732" s="3" t="s">
        <v>3396</v>
      </c>
      <c r="D732" s="3" t="s">
        <v>52</v>
      </c>
      <c r="E732" s="3" t="s">
        <v>52</v>
      </c>
      <c r="F732" s="3" t="s">
        <v>3400</v>
      </c>
      <c r="G732" s="3" t="s">
        <v>3401</v>
      </c>
      <c r="H732" s="3" t="s">
        <v>3398</v>
      </c>
      <c r="I732" s="3" t="s">
        <v>3402</v>
      </c>
      <c r="J732" s="3" t="s">
        <v>3403</v>
      </c>
      <c r="K732" s="3" t="s">
        <v>82</v>
      </c>
      <c r="L732" s="3" t="s">
        <v>1444</v>
      </c>
      <c r="M732" s="3" t="s">
        <v>0</v>
      </c>
      <c r="N732" s="3" t="s">
        <v>0</v>
      </c>
      <c r="O732" s="3">
        <v>52</v>
      </c>
      <c r="P732" s="3">
        <v>10</v>
      </c>
      <c r="Q732" s="3" t="s">
        <v>352</v>
      </c>
      <c r="R732" s="3" t="s">
        <v>61</v>
      </c>
      <c r="S732" s="3">
        <v>5</v>
      </c>
      <c r="T732" s="3">
        <v>0</v>
      </c>
      <c r="U732" s="3">
        <v>5</v>
      </c>
      <c r="V732" s="3">
        <v>4</v>
      </c>
      <c r="W732" s="3">
        <v>0</v>
      </c>
      <c r="X732" s="3" t="s">
        <v>147</v>
      </c>
      <c r="Y732" s="3">
        <v>0</v>
      </c>
      <c r="Z732" s="3">
        <v>0</v>
      </c>
      <c r="AA732" s="3">
        <v>0</v>
      </c>
      <c r="AB732" s="3">
        <v>0</v>
      </c>
      <c r="AC732" s="3">
        <v>6</v>
      </c>
      <c r="AD732" s="3">
        <v>6</v>
      </c>
      <c r="AE732" s="3">
        <v>14</v>
      </c>
      <c r="AF732" s="3" t="s">
        <v>0</v>
      </c>
      <c r="AG732" s="3" t="s">
        <v>0</v>
      </c>
    </row>
    <row r="733" spans="1:33" ht="102" x14ac:dyDescent="0.2">
      <c r="A733" s="5" t="str">
        <f>HYPERLINK("http://www.patentics.cn/invokexml.do?sf=ShowPatent&amp;spn=EP2868149B1&amp;sv=4d2652160c81917d5ca39c867ed925da","EP2868149B1")</f>
        <v>EP2868149B1</v>
      </c>
      <c r="B733" s="3" t="s">
        <v>3404</v>
      </c>
      <c r="C733" s="3" t="s">
        <v>3396</v>
      </c>
      <c r="D733" s="3" t="s">
        <v>52</v>
      </c>
      <c r="E733" s="3" t="s">
        <v>52</v>
      </c>
      <c r="F733" s="3" t="s">
        <v>3405</v>
      </c>
      <c r="G733" s="3" t="s">
        <v>3406</v>
      </c>
      <c r="H733" s="3" t="s">
        <v>0</v>
      </c>
      <c r="I733" s="3" t="s">
        <v>3402</v>
      </c>
      <c r="J733" s="3" t="s">
        <v>3407</v>
      </c>
      <c r="K733" s="3" t="s">
        <v>82</v>
      </c>
      <c r="L733" s="3" t="s">
        <v>1444</v>
      </c>
      <c r="M733" s="3" t="s">
        <v>0</v>
      </c>
      <c r="N733" s="3" t="s">
        <v>0</v>
      </c>
      <c r="O733" s="3">
        <v>15</v>
      </c>
      <c r="P733" s="3">
        <v>14</v>
      </c>
      <c r="Q733" s="3" t="s">
        <v>60</v>
      </c>
      <c r="R733" s="3" t="s">
        <v>2704</v>
      </c>
      <c r="S733" s="3">
        <v>2</v>
      </c>
      <c r="T733" s="3">
        <v>0</v>
      </c>
      <c r="U733" s="3">
        <v>2</v>
      </c>
      <c r="V733" s="3">
        <v>2</v>
      </c>
      <c r="W733" s="3">
        <v>0</v>
      </c>
      <c r="X733" s="3" t="s">
        <v>147</v>
      </c>
      <c r="Y733" s="3">
        <v>0</v>
      </c>
      <c r="Z733" s="3">
        <v>0</v>
      </c>
      <c r="AA733" s="3">
        <v>0</v>
      </c>
      <c r="AB733" s="3">
        <v>0</v>
      </c>
      <c r="AC733" s="3">
        <v>0</v>
      </c>
      <c r="AD733" s="3">
        <v>0</v>
      </c>
      <c r="AE733" s="3">
        <v>14</v>
      </c>
      <c r="AF733" s="3" t="s">
        <v>0</v>
      </c>
      <c r="AG733" s="3" t="s">
        <v>0</v>
      </c>
    </row>
    <row r="734" spans="1:33" ht="76.5" x14ac:dyDescent="0.2">
      <c r="A734" s="4" t="str">
        <f>HYPERLINK("http://www.patentics.cn/invokexml.do?sf=ShowPatent&amp;spn=WO2009094916&amp;sv=113ba236fa9f89f816d7d41bc2ab439d","WO2009094916")</f>
        <v>WO2009094916</v>
      </c>
      <c r="B734" s="2" t="s">
        <v>3408</v>
      </c>
      <c r="C734" s="2" t="s">
        <v>3409</v>
      </c>
      <c r="D734" s="2" t="s">
        <v>3410</v>
      </c>
      <c r="E734" s="2" t="s">
        <v>3410</v>
      </c>
      <c r="F734" s="2" t="s">
        <v>3411</v>
      </c>
      <c r="G734" s="2" t="s">
        <v>3412</v>
      </c>
      <c r="H734" s="2" t="s">
        <v>3413</v>
      </c>
      <c r="I734" s="2" t="s">
        <v>2492</v>
      </c>
      <c r="J734" s="2" t="s">
        <v>3414</v>
      </c>
      <c r="K734" s="2" t="s">
        <v>58</v>
      </c>
      <c r="L734" s="2" t="s">
        <v>1236</v>
      </c>
      <c r="M734" s="2" t="s">
        <v>0</v>
      </c>
      <c r="N734" s="2" t="s">
        <v>0</v>
      </c>
      <c r="O734" s="2">
        <v>0</v>
      </c>
      <c r="P734" s="2">
        <v>0</v>
      </c>
      <c r="Q734" s="2" t="s">
        <v>352</v>
      </c>
      <c r="R734" s="2" t="s">
        <v>47</v>
      </c>
      <c r="S734" s="2">
        <v>4</v>
      </c>
      <c r="T734" s="2">
        <v>1</v>
      </c>
      <c r="U734" s="2">
        <v>3</v>
      </c>
      <c r="V734" s="2">
        <v>3</v>
      </c>
      <c r="W734" s="2">
        <v>15</v>
      </c>
      <c r="X734" s="2" t="s">
        <v>3415</v>
      </c>
      <c r="Y734" s="2">
        <v>0</v>
      </c>
      <c r="Z734" s="2">
        <v>15</v>
      </c>
      <c r="AA734" s="2">
        <v>5</v>
      </c>
      <c r="AB734" s="2">
        <v>5</v>
      </c>
      <c r="AC734" s="2">
        <v>5</v>
      </c>
      <c r="AD734" s="2">
        <v>4</v>
      </c>
      <c r="AE734" s="2" t="s">
        <v>0</v>
      </c>
      <c r="AF734" s="2">
        <v>3</v>
      </c>
      <c r="AG734" s="2" t="s">
        <v>0</v>
      </c>
    </row>
    <row r="735" spans="1:33" ht="178.5" x14ac:dyDescent="0.2">
      <c r="A735" s="5" t="str">
        <f>HYPERLINK("http://www.patentics.cn/invokexml.do?sf=ShowPatent&amp;spn=US9374739&amp;sv=006f946ff91c9edb381f343a9f598662","US9374739")</f>
        <v>US9374739</v>
      </c>
      <c r="B735" s="3" t="s">
        <v>3416</v>
      </c>
      <c r="C735" s="3" t="s">
        <v>3417</v>
      </c>
      <c r="D735" s="3" t="s">
        <v>52</v>
      </c>
      <c r="E735" s="3" t="s">
        <v>52</v>
      </c>
      <c r="F735" s="3" t="s">
        <v>3418</v>
      </c>
      <c r="G735" s="3" t="s">
        <v>1525</v>
      </c>
      <c r="H735" s="3" t="s">
        <v>3419</v>
      </c>
      <c r="I735" s="3" t="s">
        <v>3420</v>
      </c>
      <c r="J735" s="3" t="s">
        <v>1094</v>
      </c>
      <c r="K735" s="3" t="s">
        <v>82</v>
      </c>
      <c r="L735" s="3" t="s">
        <v>83</v>
      </c>
      <c r="M735" s="3" t="s">
        <v>82</v>
      </c>
      <c r="N735" s="3" t="s">
        <v>3421</v>
      </c>
      <c r="O735" s="3">
        <v>0</v>
      </c>
      <c r="P735" s="3">
        <v>30</v>
      </c>
      <c r="Q735" s="3" t="s">
        <v>60</v>
      </c>
      <c r="R735" s="3" t="s">
        <v>61</v>
      </c>
      <c r="S735" s="3">
        <v>20</v>
      </c>
      <c r="T735" s="3">
        <v>0</v>
      </c>
      <c r="U735" s="3">
        <v>20</v>
      </c>
      <c r="V735" s="3">
        <v>8</v>
      </c>
      <c r="W735" s="3">
        <v>0</v>
      </c>
      <c r="X735" s="3" t="s">
        <v>147</v>
      </c>
      <c r="Y735" s="3">
        <v>0</v>
      </c>
      <c r="Z735" s="3">
        <v>0</v>
      </c>
      <c r="AA735" s="3">
        <v>0</v>
      </c>
      <c r="AB735" s="3">
        <v>0</v>
      </c>
      <c r="AC735" s="3">
        <v>9</v>
      </c>
      <c r="AD735" s="3">
        <v>6</v>
      </c>
      <c r="AE735" s="3">
        <v>14</v>
      </c>
      <c r="AF735" s="3" t="s">
        <v>0</v>
      </c>
      <c r="AG735" s="3" t="s">
        <v>49</v>
      </c>
    </row>
    <row r="736" spans="1:33" ht="165.75" x14ac:dyDescent="0.2">
      <c r="A736" s="5" t="str">
        <f>HYPERLINK("http://www.patentics.cn/invokexml.do?sf=ShowPatent&amp;spn=WO2011146655&amp;sv=8f9c72c8a62b61f1d348c4fa59f1b749","WO2011146655")</f>
        <v>WO2011146655</v>
      </c>
      <c r="B736" s="3" t="s">
        <v>3422</v>
      </c>
      <c r="C736" s="3" t="s">
        <v>3423</v>
      </c>
      <c r="D736" s="3" t="s">
        <v>3424</v>
      </c>
      <c r="E736" s="3" t="s">
        <v>3425</v>
      </c>
      <c r="F736" s="3" t="s">
        <v>3426</v>
      </c>
      <c r="G736" s="3" t="s">
        <v>3427</v>
      </c>
      <c r="H736" s="3" t="s">
        <v>3419</v>
      </c>
      <c r="I736" s="3" t="s">
        <v>3428</v>
      </c>
      <c r="J736" s="3" t="s">
        <v>2905</v>
      </c>
      <c r="K736" s="3" t="s">
        <v>82</v>
      </c>
      <c r="L736" s="3" t="s">
        <v>177</v>
      </c>
      <c r="M736" s="3" t="s">
        <v>0</v>
      </c>
      <c r="N736" s="3" t="s">
        <v>0</v>
      </c>
      <c r="O736" s="3">
        <v>19</v>
      </c>
      <c r="P736" s="3">
        <v>12</v>
      </c>
      <c r="Q736" s="3" t="s">
        <v>352</v>
      </c>
      <c r="R736" s="3" t="s">
        <v>61</v>
      </c>
      <c r="S736" s="3">
        <v>6</v>
      </c>
      <c r="T736" s="3">
        <v>0</v>
      </c>
      <c r="U736" s="3">
        <v>6</v>
      </c>
      <c r="V736" s="3">
        <v>3</v>
      </c>
      <c r="W736" s="3">
        <v>0</v>
      </c>
      <c r="X736" s="3" t="s">
        <v>147</v>
      </c>
      <c r="Y736" s="3">
        <v>0</v>
      </c>
      <c r="Z736" s="3">
        <v>0</v>
      </c>
      <c r="AA736" s="3">
        <v>0</v>
      </c>
      <c r="AB736" s="3">
        <v>0</v>
      </c>
      <c r="AC736" s="3">
        <v>9</v>
      </c>
      <c r="AD736" s="3">
        <v>6</v>
      </c>
      <c r="AE736" s="3">
        <v>14</v>
      </c>
      <c r="AF736" s="3" t="s">
        <v>0</v>
      </c>
      <c r="AG736" s="3" t="s">
        <v>0</v>
      </c>
    </row>
    <row r="737" spans="1:33" ht="63.75" x14ac:dyDescent="0.2">
      <c r="A737" s="5" t="str">
        <f>HYPERLINK("http://www.patentics.cn/invokexml.do?sf=ShowPatent&amp;spn=WO2012037281&amp;sv=82f11cc5d405e4d211c018ff2c700bde","WO2012037281")</f>
        <v>WO2012037281</v>
      </c>
      <c r="B737" s="3" t="s">
        <v>3429</v>
      </c>
      <c r="C737" s="3" t="s">
        <v>3430</v>
      </c>
      <c r="D737" s="3" t="s">
        <v>3431</v>
      </c>
      <c r="E737" s="3" t="s">
        <v>3432</v>
      </c>
      <c r="F737" s="3" t="s">
        <v>3433</v>
      </c>
      <c r="G737" s="3" t="s">
        <v>3434</v>
      </c>
      <c r="H737" s="3" t="s">
        <v>917</v>
      </c>
      <c r="I737" s="3" t="s">
        <v>2019</v>
      </c>
      <c r="J737" s="3" t="s">
        <v>3435</v>
      </c>
      <c r="K737" s="3" t="s">
        <v>82</v>
      </c>
      <c r="L737" s="3" t="s">
        <v>3436</v>
      </c>
      <c r="M737" s="3" t="s">
        <v>0</v>
      </c>
      <c r="N737" s="3" t="s">
        <v>0</v>
      </c>
      <c r="O737" s="3">
        <v>28</v>
      </c>
      <c r="P737" s="3">
        <v>11</v>
      </c>
      <c r="Q737" s="3" t="s">
        <v>352</v>
      </c>
      <c r="R737" s="3" t="s">
        <v>61</v>
      </c>
      <c r="S737" s="3">
        <v>1</v>
      </c>
      <c r="T737" s="3">
        <v>0</v>
      </c>
      <c r="U737" s="3">
        <v>1</v>
      </c>
      <c r="V737" s="3">
        <v>1</v>
      </c>
      <c r="W737" s="3">
        <v>4</v>
      </c>
      <c r="X737" s="3" t="s">
        <v>2314</v>
      </c>
      <c r="Y737" s="3">
        <v>0</v>
      </c>
      <c r="Z737" s="3">
        <v>4</v>
      </c>
      <c r="AA737" s="3">
        <v>2</v>
      </c>
      <c r="AB737" s="3">
        <v>2</v>
      </c>
      <c r="AC737" s="3">
        <v>5</v>
      </c>
      <c r="AD737" s="3">
        <v>6</v>
      </c>
      <c r="AE737" s="3">
        <v>14</v>
      </c>
      <c r="AF737" s="3" t="s">
        <v>0</v>
      </c>
      <c r="AG737" s="3" t="s">
        <v>0</v>
      </c>
    </row>
    <row r="738" spans="1:33" ht="38.25" x14ac:dyDescent="0.2">
      <c r="A738" s="4" t="str">
        <f>HYPERLINK("http://www.patentics.cn/invokexml.do?sf=ShowPatent&amp;spn=WO2008157817&amp;sv=3773895a63a2f4d3ff59961af12b3791","WO2008157817")</f>
        <v>WO2008157817</v>
      </c>
      <c r="B738" s="2" t="s">
        <v>3437</v>
      </c>
      <c r="C738" s="2" t="s">
        <v>3438</v>
      </c>
      <c r="D738" s="2" t="s">
        <v>3439</v>
      </c>
      <c r="E738" s="2" t="s">
        <v>3440</v>
      </c>
      <c r="F738" s="2" t="s">
        <v>3441</v>
      </c>
      <c r="G738" s="2" t="s">
        <v>3442</v>
      </c>
      <c r="H738" s="2" t="s">
        <v>455</v>
      </c>
      <c r="I738" s="2" t="s">
        <v>3443</v>
      </c>
      <c r="J738" s="2" t="s">
        <v>3444</v>
      </c>
      <c r="K738" s="2" t="s">
        <v>84</v>
      </c>
      <c r="L738" s="2" t="s">
        <v>1922</v>
      </c>
      <c r="M738" s="2" t="s">
        <v>0</v>
      </c>
      <c r="N738" s="2" t="s">
        <v>0</v>
      </c>
      <c r="O738" s="2">
        <v>21</v>
      </c>
      <c r="P738" s="2">
        <v>16</v>
      </c>
      <c r="Q738" s="2" t="s">
        <v>352</v>
      </c>
      <c r="R738" s="2" t="s">
        <v>61</v>
      </c>
      <c r="S738" s="2">
        <v>3</v>
      </c>
      <c r="T738" s="2">
        <v>0</v>
      </c>
      <c r="U738" s="2">
        <v>3</v>
      </c>
      <c r="V738" s="2">
        <v>3</v>
      </c>
      <c r="W738" s="2">
        <v>19</v>
      </c>
      <c r="X738" s="2" t="s">
        <v>3445</v>
      </c>
      <c r="Y738" s="2">
        <v>1</v>
      </c>
      <c r="Z738" s="2">
        <v>18</v>
      </c>
      <c r="AA738" s="2">
        <v>16</v>
      </c>
      <c r="AB738" s="2">
        <v>4</v>
      </c>
      <c r="AC738" s="2">
        <v>4</v>
      </c>
      <c r="AD738" s="2">
        <v>5</v>
      </c>
      <c r="AE738" s="2" t="s">
        <v>0</v>
      </c>
      <c r="AF738" s="2">
        <v>3</v>
      </c>
      <c r="AG738" s="2" t="s">
        <v>0</v>
      </c>
    </row>
    <row r="739" spans="1:33" ht="63.75" x14ac:dyDescent="0.2">
      <c r="A739" s="5" t="str">
        <f>HYPERLINK("http://www.patentics.cn/invokexml.do?sf=ShowPatent&amp;spn=US8873440&amp;sv=d0d6e36eeb85fe55a917a085efcf3d50","US8873440")</f>
        <v>US8873440</v>
      </c>
      <c r="B739" s="3" t="s">
        <v>3446</v>
      </c>
      <c r="C739" s="3" t="s">
        <v>3447</v>
      </c>
      <c r="D739" s="3" t="s">
        <v>52</v>
      </c>
      <c r="E739" s="3" t="s">
        <v>52</v>
      </c>
      <c r="F739" s="3" t="s">
        <v>3448</v>
      </c>
      <c r="G739" s="3" t="s">
        <v>1079</v>
      </c>
      <c r="H739" s="3" t="s">
        <v>3449</v>
      </c>
      <c r="I739" s="3" t="s">
        <v>3450</v>
      </c>
      <c r="J739" s="3" t="s">
        <v>489</v>
      </c>
      <c r="K739" s="3" t="s">
        <v>84</v>
      </c>
      <c r="L739" s="3" t="s">
        <v>163</v>
      </c>
      <c r="M739" s="3" t="s">
        <v>82</v>
      </c>
      <c r="N739" s="3" t="s">
        <v>2003</v>
      </c>
      <c r="O739" s="3">
        <v>0</v>
      </c>
      <c r="P739" s="3">
        <v>12</v>
      </c>
      <c r="Q739" s="3" t="s">
        <v>60</v>
      </c>
      <c r="R739" s="3" t="s">
        <v>61</v>
      </c>
      <c r="S739" s="3">
        <v>20</v>
      </c>
      <c r="T739" s="3">
        <v>0</v>
      </c>
      <c r="U739" s="3">
        <v>20</v>
      </c>
      <c r="V739" s="3">
        <v>13</v>
      </c>
      <c r="W739" s="3">
        <v>6</v>
      </c>
      <c r="X739" s="3" t="s">
        <v>147</v>
      </c>
      <c r="Y739" s="3">
        <v>0</v>
      </c>
      <c r="Z739" s="3">
        <v>6</v>
      </c>
      <c r="AA739" s="3">
        <v>0</v>
      </c>
      <c r="AB739" s="3">
        <v>1</v>
      </c>
      <c r="AC739" s="3">
        <v>9</v>
      </c>
      <c r="AD739" s="3">
        <v>6</v>
      </c>
      <c r="AE739" s="3">
        <v>14</v>
      </c>
      <c r="AF739" s="3" t="s">
        <v>0</v>
      </c>
      <c r="AG739" s="3" t="s">
        <v>49</v>
      </c>
    </row>
    <row r="740" spans="1:33" ht="38.25" x14ac:dyDescent="0.2">
      <c r="A740" s="5" t="str">
        <f>HYPERLINK("http://www.patentics.cn/invokexml.do?sf=ShowPatent&amp;spn=US9173148&amp;sv=34149d28702ef179a383e7c6855581ca","US9173148")</f>
        <v>US9173148</v>
      </c>
      <c r="B740" s="3" t="s">
        <v>3451</v>
      </c>
      <c r="C740" s="3" t="s">
        <v>3452</v>
      </c>
      <c r="D740" s="3" t="s">
        <v>52</v>
      </c>
      <c r="E740" s="3" t="s">
        <v>52</v>
      </c>
      <c r="F740" s="3" t="s">
        <v>1016</v>
      </c>
      <c r="G740" s="3" t="s">
        <v>1016</v>
      </c>
      <c r="H740" s="3" t="s">
        <v>2251</v>
      </c>
      <c r="I740" s="3" t="s">
        <v>3453</v>
      </c>
      <c r="J740" s="3" t="s">
        <v>263</v>
      </c>
      <c r="K740" s="3" t="s">
        <v>82</v>
      </c>
      <c r="L740" s="3" t="s">
        <v>83</v>
      </c>
      <c r="M740" s="3" t="s">
        <v>82</v>
      </c>
      <c r="N740" s="3" t="s">
        <v>3454</v>
      </c>
      <c r="O740" s="3">
        <v>0</v>
      </c>
      <c r="P740" s="3">
        <v>23</v>
      </c>
      <c r="Q740" s="3" t="s">
        <v>60</v>
      </c>
      <c r="R740" s="3" t="s">
        <v>61</v>
      </c>
      <c r="S740" s="3">
        <v>34</v>
      </c>
      <c r="T740" s="3">
        <v>9</v>
      </c>
      <c r="U740" s="3">
        <v>25</v>
      </c>
      <c r="V740" s="3">
        <v>15</v>
      </c>
      <c r="W740" s="3">
        <v>0</v>
      </c>
      <c r="X740" s="3" t="s">
        <v>147</v>
      </c>
      <c r="Y740" s="3">
        <v>0</v>
      </c>
      <c r="Z740" s="3">
        <v>0</v>
      </c>
      <c r="AA740" s="3">
        <v>0</v>
      </c>
      <c r="AB740" s="3">
        <v>0</v>
      </c>
      <c r="AC740" s="3">
        <v>22</v>
      </c>
      <c r="AD740" s="3">
        <v>13</v>
      </c>
      <c r="AE740" s="3">
        <v>14</v>
      </c>
      <c r="AF740" s="3" t="s">
        <v>0</v>
      </c>
      <c r="AG740" s="3" t="s">
        <v>49</v>
      </c>
    </row>
    <row r="741" spans="1:33" ht="25.5" x14ac:dyDescent="0.2">
      <c r="A741" s="5" t="str">
        <f>HYPERLINK("http://www.patentics.cn/invokexml.do?sf=ShowPatent&amp;spn=CN102860076B&amp;sv=d9de76d88174a732f4734f93cd382b51","CN102860076B")</f>
        <v>CN102860076B</v>
      </c>
      <c r="B741" s="3" t="s">
        <v>3455</v>
      </c>
      <c r="C741" s="3" t="s">
        <v>3456</v>
      </c>
      <c r="D741" s="3" t="s">
        <v>338</v>
      </c>
      <c r="E741" s="3" t="s">
        <v>338</v>
      </c>
      <c r="F741" s="3" t="s">
        <v>3457</v>
      </c>
      <c r="G741" s="3" t="s">
        <v>3458</v>
      </c>
      <c r="H741" s="3" t="s">
        <v>3449</v>
      </c>
      <c r="I741" s="3" t="s">
        <v>3459</v>
      </c>
      <c r="J741" s="3" t="s">
        <v>3460</v>
      </c>
      <c r="K741" s="3" t="s">
        <v>82</v>
      </c>
      <c r="L741" s="3" t="s">
        <v>177</v>
      </c>
      <c r="M741" s="3" t="s">
        <v>0</v>
      </c>
      <c r="N741" s="3" t="s">
        <v>0</v>
      </c>
      <c r="O741" s="3">
        <v>32</v>
      </c>
      <c r="P741" s="3">
        <v>16</v>
      </c>
      <c r="Q741" s="3" t="s">
        <v>60</v>
      </c>
      <c r="R741" s="3" t="s">
        <v>61</v>
      </c>
      <c r="S741" s="3">
        <v>4</v>
      </c>
      <c r="T741" s="3">
        <v>0</v>
      </c>
      <c r="U741" s="3">
        <v>4</v>
      </c>
      <c r="V741" s="3">
        <v>3</v>
      </c>
      <c r="W741" s="3">
        <v>6</v>
      </c>
      <c r="X741" s="3" t="s">
        <v>147</v>
      </c>
      <c r="Y741" s="3">
        <v>0</v>
      </c>
      <c r="Z741" s="3">
        <v>6</v>
      </c>
      <c r="AA741" s="3">
        <v>0</v>
      </c>
      <c r="AB741" s="3">
        <v>1</v>
      </c>
      <c r="AC741" s="3">
        <v>0</v>
      </c>
      <c r="AD741" s="3">
        <v>0</v>
      </c>
      <c r="AE741" s="3">
        <v>14</v>
      </c>
      <c r="AF741" s="3" t="s">
        <v>0</v>
      </c>
      <c r="AG741" s="3" t="s">
        <v>49</v>
      </c>
    </row>
    <row r="742" spans="1:33" ht="38.25" x14ac:dyDescent="0.2">
      <c r="A742" s="4" t="str">
        <f>HYPERLINK("http://www.patentics.cn/invokexml.do?sf=ShowPatent&amp;spn=WO2008118429&amp;sv=47ecb4e6d5d478794a85eabee05fc299","WO2008118429")</f>
        <v>WO2008118429</v>
      </c>
      <c r="B742" s="2" t="s">
        <v>3461</v>
      </c>
      <c r="C742" s="2" t="s">
        <v>3462</v>
      </c>
      <c r="D742" s="2" t="s">
        <v>2325</v>
      </c>
      <c r="E742" s="2" t="s">
        <v>2326</v>
      </c>
      <c r="F742" s="2" t="s">
        <v>882</v>
      </c>
      <c r="G742" s="2" t="s">
        <v>882</v>
      </c>
      <c r="H742" s="2" t="s">
        <v>3033</v>
      </c>
      <c r="I742" s="2" t="s">
        <v>3463</v>
      </c>
      <c r="J742" s="2" t="s">
        <v>3464</v>
      </c>
      <c r="K742" s="2" t="s">
        <v>70</v>
      </c>
      <c r="L742" s="2" t="s">
        <v>71</v>
      </c>
      <c r="M742" s="2" t="s">
        <v>0</v>
      </c>
      <c r="N742" s="2" t="s">
        <v>0</v>
      </c>
      <c r="O742" s="2">
        <v>25</v>
      </c>
      <c r="P742" s="2">
        <v>16</v>
      </c>
      <c r="Q742" s="2" t="s">
        <v>352</v>
      </c>
      <c r="R742" s="2" t="s">
        <v>61</v>
      </c>
      <c r="S742" s="2">
        <v>3</v>
      </c>
      <c r="T742" s="2">
        <v>0</v>
      </c>
      <c r="U742" s="2">
        <v>3</v>
      </c>
      <c r="V742" s="2">
        <v>3</v>
      </c>
      <c r="W742" s="2">
        <v>13</v>
      </c>
      <c r="X742" s="2" t="s">
        <v>3465</v>
      </c>
      <c r="Y742" s="2">
        <v>0</v>
      </c>
      <c r="Z742" s="2">
        <v>13</v>
      </c>
      <c r="AA742" s="2">
        <v>7</v>
      </c>
      <c r="AB742" s="2">
        <v>2</v>
      </c>
      <c r="AC742" s="2">
        <v>11</v>
      </c>
      <c r="AD742" s="2">
        <v>8</v>
      </c>
      <c r="AE742" s="2" t="s">
        <v>0</v>
      </c>
      <c r="AF742" s="2">
        <v>3</v>
      </c>
      <c r="AG742" s="2" t="s">
        <v>0</v>
      </c>
    </row>
    <row r="743" spans="1:33" ht="76.5" x14ac:dyDescent="0.2">
      <c r="A743" s="5" t="str">
        <f>HYPERLINK("http://www.patentics.cn/invokexml.do?sf=ShowPatent&amp;spn=US8494065&amp;sv=418d06ed7bd40d1093f3726f5ac6f260","US8494065")</f>
        <v>US8494065</v>
      </c>
      <c r="B743" s="3" t="s">
        <v>3037</v>
      </c>
      <c r="C743" s="3" t="s">
        <v>3038</v>
      </c>
      <c r="D743" s="3" t="s">
        <v>52</v>
      </c>
      <c r="E743" s="3" t="s">
        <v>52</v>
      </c>
      <c r="F743" s="3" t="s">
        <v>3039</v>
      </c>
      <c r="G743" s="3" t="s">
        <v>3040</v>
      </c>
      <c r="H743" s="3" t="s">
        <v>3041</v>
      </c>
      <c r="I743" s="3" t="s">
        <v>3042</v>
      </c>
      <c r="J743" s="3" t="s">
        <v>3043</v>
      </c>
      <c r="K743" s="3" t="s">
        <v>333</v>
      </c>
      <c r="L743" s="3" t="s">
        <v>334</v>
      </c>
      <c r="M743" s="3" t="s">
        <v>58</v>
      </c>
      <c r="N743" s="3" t="s">
        <v>512</v>
      </c>
      <c r="O743" s="3">
        <v>0</v>
      </c>
      <c r="P743" s="3">
        <v>17</v>
      </c>
      <c r="Q743" s="3" t="s">
        <v>60</v>
      </c>
      <c r="R743" s="3" t="s">
        <v>61</v>
      </c>
      <c r="S743" s="3">
        <v>23</v>
      </c>
      <c r="T743" s="3">
        <v>7</v>
      </c>
      <c r="U743" s="3">
        <v>16</v>
      </c>
      <c r="V743" s="3">
        <v>9</v>
      </c>
      <c r="W743" s="3">
        <v>6</v>
      </c>
      <c r="X743" s="3" t="s">
        <v>147</v>
      </c>
      <c r="Y743" s="3">
        <v>0</v>
      </c>
      <c r="Z743" s="3">
        <v>6</v>
      </c>
      <c r="AA743" s="3">
        <v>0</v>
      </c>
      <c r="AB743" s="3">
        <v>1</v>
      </c>
      <c r="AC743" s="3">
        <v>15</v>
      </c>
      <c r="AD743" s="3">
        <v>9</v>
      </c>
      <c r="AE743" s="3">
        <v>14</v>
      </c>
      <c r="AF743" s="3" t="s">
        <v>0</v>
      </c>
      <c r="AG743" s="3" t="s">
        <v>49</v>
      </c>
    </row>
    <row r="744" spans="1:33" ht="127.5" x14ac:dyDescent="0.2">
      <c r="A744" s="5" t="str">
        <f>HYPERLINK("http://www.patentics.cn/invokexml.do?sf=ShowPatent&amp;spn=US9516531&amp;sv=4c1f462ea627f2256d502cd2e5d52129","US9516531")</f>
        <v>US9516531</v>
      </c>
      <c r="B744" s="3" t="s">
        <v>3258</v>
      </c>
      <c r="C744" s="3" t="s">
        <v>3259</v>
      </c>
      <c r="D744" s="3" t="s">
        <v>52</v>
      </c>
      <c r="E744" s="3" t="s">
        <v>52</v>
      </c>
      <c r="F744" s="3" t="s">
        <v>3260</v>
      </c>
      <c r="G744" s="3" t="s">
        <v>3255</v>
      </c>
      <c r="H744" s="3" t="s">
        <v>1999</v>
      </c>
      <c r="I744" s="3" t="s">
        <v>1427</v>
      </c>
      <c r="J744" s="3" t="s">
        <v>3261</v>
      </c>
      <c r="K744" s="3" t="s">
        <v>82</v>
      </c>
      <c r="L744" s="3" t="s">
        <v>2215</v>
      </c>
      <c r="M744" s="3" t="s">
        <v>82</v>
      </c>
      <c r="N744" s="3" t="s">
        <v>799</v>
      </c>
      <c r="O744" s="3">
        <v>0</v>
      </c>
      <c r="P744" s="3">
        <v>12</v>
      </c>
      <c r="Q744" s="3" t="s">
        <v>60</v>
      </c>
      <c r="R744" s="3" t="s">
        <v>61</v>
      </c>
      <c r="S744" s="3">
        <v>248</v>
      </c>
      <c r="T744" s="3">
        <v>48</v>
      </c>
      <c r="U744" s="3">
        <v>200</v>
      </c>
      <c r="V744" s="3">
        <v>72</v>
      </c>
      <c r="W744" s="3">
        <v>0</v>
      </c>
      <c r="X744" s="3" t="s">
        <v>147</v>
      </c>
      <c r="Y744" s="3">
        <v>0</v>
      </c>
      <c r="Z744" s="3">
        <v>0</v>
      </c>
      <c r="AA744" s="3">
        <v>0</v>
      </c>
      <c r="AB744" s="3">
        <v>0</v>
      </c>
      <c r="AC744" s="3">
        <v>116</v>
      </c>
      <c r="AD744" s="3">
        <v>7</v>
      </c>
      <c r="AE744" s="3">
        <v>14</v>
      </c>
      <c r="AF744" s="3" t="s">
        <v>0</v>
      </c>
      <c r="AG744" s="3" t="s">
        <v>49</v>
      </c>
    </row>
    <row r="745" spans="1:33" ht="127.5" x14ac:dyDescent="0.2">
      <c r="A745" s="5" t="str">
        <f>HYPERLINK("http://www.patentics.cn/invokexml.do?sf=ShowPatent&amp;spn=US9532251&amp;sv=68f400ebe7d192ce14af888df365d914","US9532251")</f>
        <v>US9532251</v>
      </c>
      <c r="B745" s="3" t="s">
        <v>3262</v>
      </c>
      <c r="C745" s="3" t="s">
        <v>3263</v>
      </c>
      <c r="D745" s="3" t="s">
        <v>52</v>
      </c>
      <c r="E745" s="3" t="s">
        <v>52</v>
      </c>
      <c r="F745" s="3" t="s">
        <v>3260</v>
      </c>
      <c r="G745" s="3" t="s">
        <v>3255</v>
      </c>
      <c r="H745" s="3" t="s">
        <v>1999</v>
      </c>
      <c r="I745" s="3" t="s">
        <v>1452</v>
      </c>
      <c r="J745" s="3" t="s">
        <v>3264</v>
      </c>
      <c r="K745" s="3" t="s">
        <v>84</v>
      </c>
      <c r="L745" s="3" t="s">
        <v>163</v>
      </c>
      <c r="M745" s="3" t="s">
        <v>82</v>
      </c>
      <c r="N745" s="3" t="s">
        <v>799</v>
      </c>
      <c r="O745" s="3">
        <v>0</v>
      </c>
      <c r="P745" s="3">
        <v>15</v>
      </c>
      <c r="Q745" s="3" t="s">
        <v>60</v>
      </c>
      <c r="R745" s="3" t="s">
        <v>61</v>
      </c>
      <c r="S745" s="3">
        <v>240</v>
      </c>
      <c r="T745" s="3">
        <v>42</v>
      </c>
      <c r="U745" s="3">
        <v>198</v>
      </c>
      <c r="V745" s="3">
        <v>72</v>
      </c>
      <c r="W745" s="3">
        <v>0</v>
      </c>
      <c r="X745" s="3" t="s">
        <v>147</v>
      </c>
      <c r="Y745" s="3">
        <v>0</v>
      </c>
      <c r="Z745" s="3">
        <v>0</v>
      </c>
      <c r="AA745" s="3">
        <v>0</v>
      </c>
      <c r="AB745" s="3">
        <v>0</v>
      </c>
      <c r="AC745" s="3">
        <v>116</v>
      </c>
      <c r="AD745" s="3">
        <v>7</v>
      </c>
      <c r="AE745" s="3">
        <v>14</v>
      </c>
      <c r="AF745" s="3" t="s">
        <v>0</v>
      </c>
      <c r="AG745" s="3" t="s">
        <v>49</v>
      </c>
    </row>
    <row r="746" spans="1:33" ht="89.25" x14ac:dyDescent="0.2">
      <c r="A746" s="4" t="str">
        <f>HYPERLINK("http://www.patentics.cn/invokexml.do?sf=ShowPatent&amp;spn=WO2006015108&amp;sv=cffedf4a20dddb9eacaed16e97b2d2bf","WO2006015108")</f>
        <v>WO2006015108</v>
      </c>
      <c r="B746" s="2" t="s">
        <v>3466</v>
      </c>
      <c r="C746" s="2" t="s">
        <v>3467</v>
      </c>
      <c r="D746" s="2" t="s">
        <v>3468</v>
      </c>
      <c r="E746" s="2" t="s">
        <v>3469</v>
      </c>
      <c r="F746" s="2" t="s">
        <v>3470</v>
      </c>
      <c r="G746" s="2" t="s">
        <v>3471</v>
      </c>
      <c r="H746" s="2" t="s">
        <v>3472</v>
      </c>
      <c r="I746" s="2" t="s">
        <v>3473</v>
      </c>
      <c r="J746" s="2" t="s">
        <v>3474</v>
      </c>
      <c r="K746" s="2" t="s">
        <v>333</v>
      </c>
      <c r="L746" s="2" t="s">
        <v>334</v>
      </c>
      <c r="M746" s="2" t="s">
        <v>0</v>
      </c>
      <c r="N746" s="2" t="s">
        <v>0</v>
      </c>
      <c r="O746" s="2">
        <v>22</v>
      </c>
      <c r="P746" s="2">
        <v>9</v>
      </c>
      <c r="Q746" s="2" t="s">
        <v>352</v>
      </c>
      <c r="R746" s="2" t="s">
        <v>61</v>
      </c>
      <c r="S746" s="2">
        <v>3</v>
      </c>
      <c r="T746" s="2">
        <v>0</v>
      </c>
      <c r="U746" s="2">
        <v>3</v>
      </c>
      <c r="V746" s="2">
        <v>3</v>
      </c>
      <c r="W746" s="2">
        <v>56</v>
      </c>
      <c r="X746" s="2" t="s">
        <v>3475</v>
      </c>
      <c r="Y746" s="2">
        <v>1</v>
      </c>
      <c r="Z746" s="2">
        <v>55</v>
      </c>
      <c r="AA746" s="2">
        <v>18</v>
      </c>
      <c r="AB746" s="2">
        <v>8</v>
      </c>
      <c r="AC746" s="2">
        <v>10</v>
      </c>
      <c r="AD746" s="2">
        <v>6</v>
      </c>
      <c r="AE746" s="2" t="s">
        <v>0</v>
      </c>
      <c r="AF746" s="2">
        <v>3</v>
      </c>
      <c r="AG746" s="2" t="s">
        <v>0</v>
      </c>
    </row>
    <row r="747" spans="1:33" ht="63.75" x14ac:dyDescent="0.2">
      <c r="A747" s="5" t="str">
        <f>HYPERLINK("http://www.patentics.cn/invokexml.do?sf=ShowPatent&amp;spn=US9065714&amp;sv=d500fc1e07d8db925df2732f87e81b98","US9065714")</f>
        <v>US9065714</v>
      </c>
      <c r="B747" s="3" t="s">
        <v>3476</v>
      </c>
      <c r="C747" s="3" t="s">
        <v>3477</v>
      </c>
      <c r="D747" s="3" t="s">
        <v>52</v>
      </c>
      <c r="E747" s="3" t="s">
        <v>52</v>
      </c>
      <c r="F747" s="3" t="s">
        <v>3478</v>
      </c>
      <c r="G747" s="3" t="s">
        <v>3479</v>
      </c>
      <c r="H747" s="3" t="s">
        <v>3480</v>
      </c>
      <c r="I747" s="3" t="s">
        <v>3481</v>
      </c>
      <c r="J747" s="3" t="s">
        <v>1596</v>
      </c>
      <c r="K747" s="3" t="s">
        <v>70</v>
      </c>
      <c r="L747" s="3" t="s">
        <v>3121</v>
      </c>
      <c r="M747" s="3" t="s">
        <v>0</v>
      </c>
      <c r="N747" s="3" t="s">
        <v>0</v>
      </c>
      <c r="O747" s="3">
        <v>0</v>
      </c>
      <c r="P747" s="3">
        <v>19</v>
      </c>
      <c r="Q747" s="3" t="s">
        <v>60</v>
      </c>
      <c r="R747" s="3" t="s">
        <v>61</v>
      </c>
      <c r="S747" s="3">
        <v>27</v>
      </c>
      <c r="T747" s="3">
        <v>4</v>
      </c>
      <c r="U747" s="3">
        <v>23</v>
      </c>
      <c r="V747" s="3">
        <v>13</v>
      </c>
      <c r="W747" s="3">
        <v>0</v>
      </c>
      <c r="X747" s="3" t="s">
        <v>147</v>
      </c>
      <c r="Y747" s="3">
        <v>0</v>
      </c>
      <c r="Z747" s="3">
        <v>0</v>
      </c>
      <c r="AA747" s="3">
        <v>0</v>
      </c>
      <c r="AB747" s="3">
        <v>0</v>
      </c>
      <c r="AC747" s="3">
        <v>24</v>
      </c>
      <c r="AD747" s="3">
        <v>17</v>
      </c>
      <c r="AE747" s="3">
        <v>14</v>
      </c>
      <c r="AF747" s="3" t="s">
        <v>0</v>
      </c>
      <c r="AG747" s="3" t="s">
        <v>49</v>
      </c>
    </row>
    <row r="748" spans="1:33" ht="25.5" x14ac:dyDescent="0.2">
      <c r="A748" s="5" t="str">
        <f>HYPERLINK("http://www.patentics.cn/invokexml.do?sf=ShowPatent&amp;spn=CN101611559B&amp;sv=db1ebe1a49b8b2bac1ab2686cfb665f6","CN101611559B")</f>
        <v>CN101611559B</v>
      </c>
      <c r="B748" s="3" t="s">
        <v>3482</v>
      </c>
      <c r="C748" s="3" t="s">
        <v>3483</v>
      </c>
      <c r="D748" s="3" t="s">
        <v>338</v>
      </c>
      <c r="E748" s="3" t="s">
        <v>338</v>
      </c>
      <c r="F748" s="3" t="s">
        <v>3484</v>
      </c>
      <c r="G748" s="3" t="s">
        <v>3485</v>
      </c>
      <c r="H748" s="3" t="s">
        <v>3480</v>
      </c>
      <c r="I748" s="3" t="s">
        <v>3486</v>
      </c>
      <c r="J748" s="3" t="s">
        <v>3487</v>
      </c>
      <c r="K748" s="3" t="s">
        <v>58</v>
      </c>
      <c r="L748" s="3" t="s">
        <v>326</v>
      </c>
      <c r="M748" s="3" t="s">
        <v>0</v>
      </c>
      <c r="N748" s="3" t="s">
        <v>0</v>
      </c>
      <c r="O748" s="3">
        <v>35</v>
      </c>
      <c r="P748" s="3">
        <v>12</v>
      </c>
      <c r="Q748" s="3" t="s">
        <v>60</v>
      </c>
      <c r="R748" s="3" t="s">
        <v>61</v>
      </c>
      <c r="S748" s="3">
        <v>4</v>
      </c>
      <c r="T748" s="3">
        <v>0</v>
      </c>
      <c r="U748" s="3">
        <v>4</v>
      </c>
      <c r="V748" s="3">
        <v>4</v>
      </c>
      <c r="W748" s="3">
        <v>0</v>
      </c>
      <c r="X748" s="3" t="s">
        <v>147</v>
      </c>
      <c r="Y748" s="3">
        <v>0</v>
      </c>
      <c r="Z748" s="3">
        <v>0</v>
      </c>
      <c r="AA748" s="3">
        <v>0</v>
      </c>
      <c r="AB748" s="3">
        <v>0</v>
      </c>
      <c r="AC748" s="3">
        <v>29</v>
      </c>
      <c r="AD748" s="3">
        <v>15</v>
      </c>
      <c r="AE748" s="3">
        <v>14</v>
      </c>
      <c r="AF748" s="3" t="s">
        <v>0</v>
      </c>
      <c r="AG748" s="3" t="s">
        <v>49</v>
      </c>
    </row>
    <row r="749" spans="1:33" ht="38.25" x14ac:dyDescent="0.2">
      <c r="A749" s="5" t="str">
        <f>HYPERLINK("http://www.patentics.cn/invokexml.do?sf=ShowPatent&amp;spn=TWI466480&amp;sv=54227a28e06550d44a2606f005688f70","TWI466480")</f>
        <v>TWI466480</v>
      </c>
      <c r="B749" s="3" t="s">
        <v>3488</v>
      </c>
      <c r="C749" s="3" t="s">
        <v>3489</v>
      </c>
      <c r="D749" s="3" t="s">
        <v>992</v>
      </c>
      <c r="E749" s="3" t="s">
        <v>338</v>
      </c>
      <c r="F749" s="3" t="s">
        <v>3490</v>
      </c>
      <c r="G749" s="3" t="s">
        <v>3491</v>
      </c>
      <c r="H749" s="3" t="s">
        <v>3480</v>
      </c>
      <c r="I749" s="3" t="s">
        <v>3486</v>
      </c>
      <c r="J749" s="3" t="s">
        <v>3492</v>
      </c>
      <c r="K749" s="3" t="s">
        <v>70</v>
      </c>
      <c r="L749" s="3" t="s">
        <v>71</v>
      </c>
      <c r="M749" s="3" t="s">
        <v>0</v>
      </c>
      <c r="N749" s="3" t="s">
        <v>0</v>
      </c>
      <c r="O749" s="3">
        <v>44</v>
      </c>
      <c r="P749" s="3">
        <v>22</v>
      </c>
      <c r="Q749" s="3" t="s">
        <v>60</v>
      </c>
      <c r="R749" s="3" t="s">
        <v>61</v>
      </c>
      <c r="S749" s="3">
        <v>9</v>
      </c>
      <c r="T749" s="3">
        <v>0</v>
      </c>
      <c r="U749" s="3">
        <v>9</v>
      </c>
      <c r="V749" s="3">
        <v>6</v>
      </c>
      <c r="W749" s="3">
        <v>0</v>
      </c>
      <c r="X749" s="3" t="s">
        <v>147</v>
      </c>
      <c r="Y749" s="3">
        <v>0</v>
      </c>
      <c r="Z749" s="3">
        <v>0</v>
      </c>
      <c r="AA749" s="3">
        <v>0</v>
      </c>
      <c r="AB749" s="3">
        <v>0</v>
      </c>
      <c r="AC749" s="3">
        <v>24</v>
      </c>
      <c r="AD749" s="3">
        <v>17</v>
      </c>
      <c r="AE749" s="3">
        <v>14</v>
      </c>
      <c r="AF749" s="3" t="s">
        <v>0</v>
      </c>
      <c r="AG749" s="3" t="s">
        <v>0</v>
      </c>
    </row>
    <row r="750" spans="1:33" ht="25.5" x14ac:dyDescent="0.2">
      <c r="A750" s="4" t="str">
        <f>HYPERLINK("http://www.patentics.cn/invokexml.do?sf=ShowPatent&amp;spn=WO2005064833&amp;sv=5cd8390c98443805546407f943a3a5cd","WO2005064833")</f>
        <v>WO2005064833</v>
      </c>
      <c r="B750" s="2" t="s">
        <v>3493</v>
      </c>
      <c r="C750" s="2" t="s">
        <v>3494</v>
      </c>
      <c r="D750" s="2" t="s">
        <v>3495</v>
      </c>
      <c r="E750" s="2" t="s">
        <v>3496</v>
      </c>
      <c r="F750" s="2" t="s">
        <v>3497</v>
      </c>
      <c r="G750" s="2" t="s">
        <v>3497</v>
      </c>
      <c r="H750" s="2" t="s">
        <v>3498</v>
      </c>
      <c r="I750" s="2" t="s">
        <v>3498</v>
      </c>
      <c r="J750" s="2" t="s">
        <v>3499</v>
      </c>
      <c r="K750" s="2" t="s">
        <v>84</v>
      </c>
      <c r="L750" s="2" t="s">
        <v>1300</v>
      </c>
      <c r="M750" s="2" t="s">
        <v>0</v>
      </c>
      <c r="N750" s="2" t="s">
        <v>0</v>
      </c>
      <c r="O750" s="2">
        <v>0</v>
      </c>
      <c r="P750" s="2">
        <v>0</v>
      </c>
      <c r="Q750" s="2" t="s">
        <v>352</v>
      </c>
      <c r="R750" s="2" t="s">
        <v>47</v>
      </c>
      <c r="S750" s="2">
        <v>3</v>
      </c>
      <c r="T750" s="2">
        <v>1</v>
      </c>
      <c r="U750" s="2">
        <v>2</v>
      </c>
      <c r="V750" s="2">
        <v>3</v>
      </c>
      <c r="W750" s="2">
        <v>8</v>
      </c>
      <c r="X750" s="2" t="s">
        <v>3500</v>
      </c>
      <c r="Y750" s="2">
        <v>2</v>
      </c>
      <c r="Z750" s="2">
        <v>6</v>
      </c>
      <c r="AA750" s="2">
        <v>3</v>
      </c>
      <c r="AB750" s="2">
        <v>3</v>
      </c>
      <c r="AC750" s="2">
        <v>9</v>
      </c>
      <c r="AD750" s="2">
        <v>7</v>
      </c>
      <c r="AE750" s="2" t="s">
        <v>0</v>
      </c>
      <c r="AF750" s="2">
        <v>3</v>
      </c>
      <c r="AG750" s="2" t="s">
        <v>0</v>
      </c>
    </row>
    <row r="751" spans="1:33" ht="63.75" x14ac:dyDescent="0.2">
      <c r="A751" s="5" t="str">
        <f>HYPERLINK("http://www.patentics.cn/invokexml.do?sf=ShowPatent&amp;spn=US8743887&amp;sv=bbb2d767928bd04cb653758f4d4f7d01","US8743887")</f>
        <v>US8743887</v>
      </c>
      <c r="B751" s="3" t="s">
        <v>3501</v>
      </c>
      <c r="C751" s="3" t="s">
        <v>3502</v>
      </c>
      <c r="D751" s="3" t="s">
        <v>52</v>
      </c>
      <c r="E751" s="3" t="s">
        <v>52</v>
      </c>
      <c r="F751" s="3" t="s">
        <v>3503</v>
      </c>
      <c r="G751" s="3" t="s">
        <v>1227</v>
      </c>
      <c r="H751" s="3" t="s">
        <v>3504</v>
      </c>
      <c r="I751" s="3" t="s">
        <v>3464</v>
      </c>
      <c r="J751" s="3" t="s">
        <v>3505</v>
      </c>
      <c r="K751" s="3" t="s">
        <v>82</v>
      </c>
      <c r="L751" s="3" t="s">
        <v>806</v>
      </c>
      <c r="M751" s="3" t="s">
        <v>82</v>
      </c>
      <c r="N751" s="3" t="s">
        <v>3506</v>
      </c>
      <c r="O751" s="3">
        <v>0</v>
      </c>
      <c r="P751" s="3">
        <v>22</v>
      </c>
      <c r="Q751" s="3" t="s">
        <v>60</v>
      </c>
      <c r="R751" s="3" t="s">
        <v>61</v>
      </c>
      <c r="S751" s="3">
        <v>53</v>
      </c>
      <c r="T751" s="3">
        <v>4</v>
      </c>
      <c r="U751" s="3">
        <v>49</v>
      </c>
      <c r="V751" s="3">
        <v>23</v>
      </c>
      <c r="W751" s="3">
        <v>12</v>
      </c>
      <c r="X751" s="3" t="s">
        <v>147</v>
      </c>
      <c r="Y751" s="3">
        <v>0</v>
      </c>
      <c r="Z751" s="3">
        <v>12</v>
      </c>
      <c r="AA751" s="3">
        <v>0</v>
      </c>
      <c r="AB751" s="3">
        <v>1</v>
      </c>
      <c r="AC751" s="3">
        <v>67</v>
      </c>
      <c r="AD751" s="3">
        <v>17</v>
      </c>
      <c r="AE751" s="3">
        <v>14</v>
      </c>
      <c r="AF751" s="3" t="s">
        <v>0</v>
      </c>
      <c r="AG751" s="3" t="s">
        <v>49</v>
      </c>
    </row>
    <row r="752" spans="1:33" ht="63.75" x14ac:dyDescent="0.2">
      <c r="A752" s="5" t="str">
        <f>HYPERLINK("http://www.patentics.cn/invokexml.do?sf=ShowPatent&amp;spn=US8780857&amp;sv=bfb41333f50e2c8a45470c4b99e93ac0","US8780857")</f>
        <v>US8780857</v>
      </c>
      <c r="B752" s="3" t="s">
        <v>3507</v>
      </c>
      <c r="C752" s="3" t="s">
        <v>3508</v>
      </c>
      <c r="D752" s="3" t="s">
        <v>52</v>
      </c>
      <c r="E752" s="3" t="s">
        <v>52</v>
      </c>
      <c r="F752" s="3" t="s">
        <v>3503</v>
      </c>
      <c r="G752" s="3" t="s">
        <v>1227</v>
      </c>
      <c r="H752" s="3" t="s">
        <v>3504</v>
      </c>
      <c r="I752" s="3" t="s">
        <v>3464</v>
      </c>
      <c r="J752" s="3" t="s">
        <v>2618</v>
      </c>
      <c r="K752" s="3" t="s">
        <v>82</v>
      </c>
      <c r="L752" s="3" t="s">
        <v>83</v>
      </c>
      <c r="M752" s="3" t="s">
        <v>82</v>
      </c>
      <c r="N752" s="3" t="s">
        <v>3509</v>
      </c>
      <c r="O752" s="3">
        <v>0</v>
      </c>
      <c r="P752" s="3">
        <v>33</v>
      </c>
      <c r="Q752" s="3" t="s">
        <v>60</v>
      </c>
      <c r="R752" s="3" t="s">
        <v>61</v>
      </c>
      <c r="S752" s="3">
        <v>48</v>
      </c>
      <c r="T752" s="3">
        <v>4</v>
      </c>
      <c r="U752" s="3">
        <v>44</v>
      </c>
      <c r="V752" s="3">
        <v>20</v>
      </c>
      <c r="W752" s="3">
        <v>58</v>
      </c>
      <c r="X752" s="3" t="s">
        <v>1807</v>
      </c>
      <c r="Y752" s="3">
        <v>1</v>
      </c>
      <c r="Z752" s="3">
        <v>57</v>
      </c>
      <c r="AA752" s="3">
        <v>4</v>
      </c>
      <c r="AB752" s="3">
        <v>1</v>
      </c>
      <c r="AC752" s="3">
        <v>67</v>
      </c>
      <c r="AD752" s="3">
        <v>17</v>
      </c>
      <c r="AE752" s="3">
        <v>14</v>
      </c>
      <c r="AF752" s="3" t="s">
        <v>0</v>
      </c>
      <c r="AG752" s="3" t="s">
        <v>49</v>
      </c>
    </row>
    <row r="753" spans="1:33" ht="51" x14ac:dyDescent="0.2">
      <c r="A753" s="5" t="str">
        <f>HYPERLINK("http://www.patentics.cn/invokexml.do?sf=ShowPatent&amp;spn=CN101897207B&amp;sv=c5e58d227f87e3f7ca868b2eb34dc747","CN101897207B")</f>
        <v>CN101897207B</v>
      </c>
      <c r="B753" s="3" t="s">
        <v>3510</v>
      </c>
      <c r="C753" s="3" t="s">
        <v>3511</v>
      </c>
      <c r="D753" s="3" t="s">
        <v>338</v>
      </c>
      <c r="E753" s="3" t="s">
        <v>338</v>
      </c>
      <c r="F753" s="3" t="s">
        <v>3512</v>
      </c>
      <c r="G753" s="3" t="s">
        <v>3513</v>
      </c>
      <c r="H753" s="3" t="s">
        <v>3504</v>
      </c>
      <c r="I753" s="3" t="s">
        <v>3514</v>
      </c>
      <c r="J753" s="3" t="s">
        <v>3515</v>
      </c>
      <c r="K753" s="3" t="s">
        <v>82</v>
      </c>
      <c r="L753" s="3" t="s">
        <v>3516</v>
      </c>
      <c r="M753" s="3" t="s">
        <v>0</v>
      </c>
      <c r="N753" s="3" t="s">
        <v>0</v>
      </c>
      <c r="O753" s="3">
        <v>19</v>
      </c>
      <c r="P753" s="3">
        <v>23</v>
      </c>
      <c r="Q753" s="3" t="s">
        <v>60</v>
      </c>
      <c r="R753" s="3" t="s">
        <v>61</v>
      </c>
      <c r="S753" s="3">
        <v>6</v>
      </c>
      <c r="T753" s="3">
        <v>1</v>
      </c>
      <c r="U753" s="3">
        <v>5</v>
      </c>
      <c r="V753" s="3">
        <v>5</v>
      </c>
      <c r="W753" s="3">
        <v>0</v>
      </c>
      <c r="X753" s="3" t="s">
        <v>147</v>
      </c>
      <c r="Y753" s="3">
        <v>0</v>
      </c>
      <c r="Z753" s="3">
        <v>0</v>
      </c>
      <c r="AA753" s="3">
        <v>0</v>
      </c>
      <c r="AB753" s="3">
        <v>0</v>
      </c>
      <c r="AC753" s="3">
        <v>67</v>
      </c>
      <c r="AD753" s="3">
        <v>17</v>
      </c>
      <c r="AE753" s="3">
        <v>14</v>
      </c>
      <c r="AF753" s="3" t="s">
        <v>0</v>
      </c>
      <c r="AG753" s="3" t="s">
        <v>49</v>
      </c>
    </row>
    <row r="754" spans="1:33" ht="51" x14ac:dyDescent="0.2">
      <c r="A754" s="4" t="str">
        <f>HYPERLINK("http://www.patentics.cn/invokexml.do?sf=ShowPatent&amp;spn=EP2498567&amp;sv=d43b73cf6631b814390f19e663fd7fdf","EP2498567")</f>
        <v>EP2498567</v>
      </c>
      <c r="B754" s="2" t="s">
        <v>3517</v>
      </c>
      <c r="C754" s="2" t="s">
        <v>3518</v>
      </c>
      <c r="D754" s="2" t="s">
        <v>346</v>
      </c>
      <c r="E754" s="2" t="s">
        <v>346</v>
      </c>
      <c r="F754" s="2" t="s">
        <v>3519</v>
      </c>
      <c r="G754" s="2" t="s">
        <v>3520</v>
      </c>
      <c r="H754" s="2" t="s">
        <v>3521</v>
      </c>
      <c r="I754" s="2" t="s">
        <v>3521</v>
      </c>
      <c r="J754" s="2" t="s">
        <v>3522</v>
      </c>
      <c r="K754" s="2" t="s">
        <v>82</v>
      </c>
      <c r="L754" s="2" t="s">
        <v>3523</v>
      </c>
      <c r="M754" s="2" t="s">
        <v>82</v>
      </c>
      <c r="N754" s="2" t="s">
        <v>3524</v>
      </c>
      <c r="O754" s="2">
        <v>12</v>
      </c>
      <c r="P754" s="2">
        <v>10</v>
      </c>
      <c r="Q754" s="2" t="s">
        <v>352</v>
      </c>
      <c r="R754" s="2" t="s">
        <v>47</v>
      </c>
      <c r="S754" s="2">
        <v>0</v>
      </c>
      <c r="T754" s="2">
        <v>0</v>
      </c>
      <c r="U754" s="2">
        <v>0</v>
      </c>
      <c r="V754" s="2">
        <v>0</v>
      </c>
      <c r="W754" s="2">
        <v>4</v>
      </c>
      <c r="X754" s="2" t="s">
        <v>86</v>
      </c>
      <c r="Y754" s="2">
        <v>0</v>
      </c>
      <c r="Z754" s="2">
        <v>4</v>
      </c>
      <c r="AA754" s="2">
        <v>2</v>
      </c>
      <c r="AB754" s="2">
        <v>3</v>
      </c>
      <c r="AC754" s="2">
        <v>7</v>
      </c>
      <c r="AD754" s="2">
        <v>4</v>
      </c>
      <c r="AE754" s="2" t="s">
        <v>0</v>
      </c>
      <c r="AF754" s="2">
        <v>3</v>
      </c>
      <c r="AG754" s="2" t="s">
        <v>0</v>
      </c>
    </row>
    <row r="755" spans="1:33" ht="63.75" x14ac:dyDescent="0.2">
      <c r="A755" s="5" t="str">
        <f>HYPERLINK("http://www.patentics.cn/invokexml.do?sf=ShowPatent&amp;spn=US9049723&amp;sv=2c2a6ad232601c488de8463dbbc4e337","US9049723")</f>
        <v>US9049723</v>
      </c>
      <c r="B755" s="3" t="s">
        <v>3525</v>
      </c>
      <c r="C755" s="3" t="s">
        <v>3526</v>
      </c>
      <c r="D755" s="3" t="s">
        <v>52</v>
      </c>
      <c r="E755" s="3" t="s">
        <v>52</v>
      </c>
      <c r="F755" s="3" t="s">
        <v>3527</v>
      </c>
      <c r="G755" s="3" t="s">
        <v>3528</v>
      </c>
      <c r="H755" s="3" t="s">
        <v>3529</v>
      </c>
      <c r="I755" s="3" t="s">
        <v>3529</v>
      </c>
      <c r="J755" s="3" t="s">
        <v>505</v>
      </c>
      <c r="K755" s="3" t="s">
        <v>82</v>
      </c>
      <c r="L755" s="3" t="s">
        <v>83</v>
      </c>
      <c r="M755" s="3" t="s">
        <v>82</v>
      </c>
      <c r="N755" s="3" t="s">
        <v>3530</v>
      </c>
      <c r="O755" s="3">
        <v>0</v>
      </c>
      <c r="P755" s="3">
        <v>18</v>
      </c>
      <c r="Q755" s="3" t="s">
        <v>60</v>
      </c>
      <c r="R755" s="3" t="s">
        <v>61</v>
      </c>
      <c r="S755" s="3">
        <v>14</v>
      </c>
      <c r="T755" s="3">
        <v>2</v>
      </c>
      <c r="U755" s="3">
        <v>12</v>
      </c>
      <c r="V755" s="3">
        <v>8</v>
      </c>
      <c r="W755" s="3">
        <v>0</v>
      </c>
      <c r="X755" s="3" t="s">
        <v>147</v>
      </c>
      <c r="Y755" s="3">
        <v>0</v>
      </c>
      <c r="Z755" s="3">
        <v>0</v>
      </c>
      <c r="AA755" s="3">
        <v>0</v>
      </c>
      <c r="AB755" s="3">
        <v>0</v>
      </c>
      <c r="AC755" s="3">
        <v>6</v>
      </c>
      <c r="AD755" s="3">
        <v>5</v>
      </c>
      <c r="AE755" s="3">
        <v>14</v>
      </c>
      <c r="AF755" s="3" t="s">
        <v>0</v>
      </c>
      <c r="AG755" s="3" t="s">
        <v>49</v>
      </c>
    </row>
    <row r="756" spans="1:33" ht="114.75" x14ac:dyDescent="0.2">
      <c r="A756" s="5" t="str">
        <f>HYPERLINK("http://www.patentics.cn/invokexml.do?sf=ShowPatent&amp;spn=US9198180&amp;sv=ca4d4682a312a09d8d93a0bb406dbeb4","US9198180")</f>
        <v>US9198180</v>
      </c>
      <c r="B756" s="3" t="s">
        <v>3531</v>
      </c>
      <c r="C756" s="3" t="s">
        <v>3532</v>
      </c>
      <c r="D756" s="3" t="s">
        <v>52</v>
      </c>
      <c r="E756" s="3" t="s">
        <v>52</v>
      </c>
      <c r="F756" s="3" t="s">
        <v>3533</v>
      </c>
      <c r="G756" s="3" t="s">
        <v>3534</v>
      </c>
      <c r="H756" s="3" t="s">
        <v>3535</v>
      </c>
      <c r="I756" s="3" t="s">
        <v>3535</v>
      </c>
      <c r="J756" s="3" t="s">
        <v>1856</v>
      </c>
      <c r="K756" s="3" t="s">
        <v>82</v>
      </c>
      <c r="L756" s="3" t="s">
        <v>226</v>
      </c>
      <c r="M756" s="3" t="s">
        <v>82</v>
      </c>
      <c r="N756" s="3" t="s">
        <v>3536</v>
      </c>
      <c r="O756" s="3">
        <v>0</v>
      </c>
      <c r="P756" s="3">
        <v>14</v>
      </c>
      <c r="Q756" s="3" t="s">
        <v>60</v>
      </c>
      <c r="R756" s="3" t="s">
        <v>61</v>
      </c>
      <c r="S756" s="3">
        <v>9</v>
      </c>
      <c r="T756" s="3">
        <v>3</v>
      </c>
      <c r="U756" s="3">
        <v>6</v>
      </c>
      <c r="V756" s="3">
        <v>5</v>
      </c>
      <c r="W756" s="3">
        <v>0</v>
      </c>
      <c r="X756" s="3" t="s">
        <v>147</v>
      </c>
      <c r="Y756" s="3">
        <v>0</v>
      </c>
      <c r="Z756" s="3">
        <v>0</v>
      </c>
      <c r="AA756" s="3">
        <v>0</v>
      </c>
      <c r="AB756" s="3">
        <v>0</v>
      </c>
      <c r="AC756" s="3">
        <v>3</v>
      </c>
      <c r="AD756" s="3">
        <v>3</v>
      </c>
      <c r="AE756" s="3">
        <v>14</v>
      </c>
      <c r="AF756" s="3" t="s">
        <v>0</v>
      </c>
      <c r="AG756" s="3" t="s">
        <v>49</v>
      </c>
    </row>
    <row r="757" spans="1:33" ht="76.5" x14ac:dyDescent="0.2">
      <c r="A757" s="5" t="str">
        <f>HYPERLINK("http://www.patentics.cn/invokexml.do?sf=ShowPatent&amp;spn=WO2014189803&amp;sv=e57564f5ce058f08f4ff5f168bcb2819","WO2014189803")</f>
        <v>WO2014189803</v>
      </c>
      <c r="B757" s="3" t="s">
        <v>3537</v>
      </c>
      <c r="C757" s="3" t="s">
        <v>3538</v>
      </c>
      <c r="D757" s="3" t="s">
        <v>52</v>
      </c>
      <c r="E757" s="3" t="s">
        <v>52</v>
      </c>
      <c r="F757" s="3" t="s">
        <v>3539</v>
      </c>
      <c r="G757" s="3" t="s">
        <v>1498</v>
      </c>
      <c r="H757" s="3" t="s">
        <v>3529</v>
      </c>
      <c r="I757" s="3" t="s">
        <v>3540</v>
      </c>
      <c r="J757" s="3" t="s">
        <v>1739</v>
      </c>
      <c r="K757" s="3" t="s">
        <v>82</v>
      </c>
      <c r="L757" s="3" t="s">
        <v>244</v>
      </c>
      <c r="M757" s="3" t="s">
        <v>0</v>
      </c>
      <c r="N757" s="3" t="s">
        <v>0</v>
      </c>
      <c r="O757" s="3">
        <v>96</v>
      </c>
      <c r="P757" s="3">
        <v>19</v>
      </c>
      <c r="Q757" s="3" t="s">
        <v>352</v>
      </c>
      <c r="R757" s="3" t="s">
        <v>61</v>
      </c>
      <c r="S757" s="3">
        <v>4</v>
      </c>
      <c r="T757" s="3">
        <v>1</v>
      </c>
      <c r="U757" s="3">
        <v>3</v>
      </c>
      <c r="V757" s="3">
        <v>4</v>
      </c>
      <c r="W757" s="3">
        <v>0</v>
      </c>
      <c r="X757" s="3" t="s">
        <v>147</v>
      </c>
      <c r="Y757" s="3">
        <v>0</v>
      </c>
      <c r="Z757" s="3">
        <v>0</v>
      </c>
      <c r="AA757" s="3">
        <v>0</v>
      </c>
      <c r="AB757" s="3">
        <v>0</v>
      </c>
      <c r="AC757" s="3">
        <v>6</v>
      </c>
      <c r="AD757" s="3">
        <v>5</v>
      </c>
      <c r="AE757" s="3">
        <v>14</v>
      </c>
      <c r="AF757" s="3" t="s">
        <v>0</v>
      </c>
      <c r="AG757" s="3" t="s">
        <v>0</v>
      </c>
    </row>
    <row r="758" spans="1:33" ht="76.5" x14ac:dyDescent="0.2">
      <c r="A758" s="4" t="str">
        <f>HYPERLINK("http://www.patentics.cn/invokexml.do?sf=ShowPatent&amp;spn=EP2247039&amp;sv=a6e6affa78ffe627e09cbd3ce12aaf69","EP2247039")</f>
        <v>EP2247039</v>
      </c>
      <c r="B758" s="2" t="s">
        <v>3541</v>
      </c>
      <c r="C758" s="2" t="s">
        <v>3409</v>
      </c>
      <c r="D758" s="2" t="s">
        <v>346</v>
      </c>
      <c r="E758" s="2" t="s">
        <v>346</v>
      </c>
      <c r="F758" s="2" t="s">
        <v>3542</v>
      </c>
      <c r="G758" s="2" t="s">
        <v>3543</v>
      </c>
      <c r="H758" s="2" t="s">
        <v>3413</v>
      </c>
      <c r="I758" s="2" t="s">
        <v>2492</v>
      </c>
      <c r="J758" s="2" t="s">
        <v>3544</v>
      </c>
      <c r="K758" s="2" t="s">
        <v>58</v>
      </c>
      <c r="L758" s="2" t="s">
        <v>1236</v>
      </c>
      <c r="M758" s="2" t="s">
        <v>82</v>
      </c>
      <c r="N758" s="2" t="s">
        <v>3545</v>
      </c>
      <c r="O758" s="2">
        <v>19</v>
      </c>
      <c r="P758" s="2">
        <v>22</v>
      </c>
      <c r="Q758" s="2" t="s">
        <v>352</v>
      </c>
      <c r="R758" s="2" t="s">
        <v>47</v>
      </c>
      <c r="S758" s="2">
        <v>3</v>
      </c>
      <c r="T758" s="2">
        <v>0</v>
      </c>
      <c r="U758" s="2">
        <v>3</v>
      </c>
      <c r="V758" s="2">
        <v>3</v>
      </c>
      <c r="W758" s="2">
        <v>9</v>
      </c>
      <c r="X758" s="2" t="s">
        <v>1878</v>
      </c>
      <c r="Y758" s="2">
        <v>0</v>
      </c>
      <c r="Z758" s="2">
        <v>9</v>
      </c>
      <c r="AA758" s="2">
        <v>1</v>
      </c>
      <c r="AB758" s="2">
        <v>4</v>
      </c>
      <c r="AC758" s="2">
        <v>5</v>
      </c>
      <c r="AD758" s="2">
        <v>4</v>
      </c>
      <c r="AE758" s="2" t="s">
        <v>0</v>
      </c>
      <c r="AF758" s="2">
        <v>3</v>
      </c>
      <c r="AG758" s="2" t="s">
        <v>0</v>
      </c>
    </row>
    <row r="759" spans="1:33" ht="178.5" x14ac:dyDescent="0.2">
      <c r="A759" s="5" t="str">
        <f>HYPERLINK("http://www.patentics.cn/invokexml.do?sf=ShowPatent&amp;spn=US9374739&amp;sv=006f946ff91c9edb381f343a9f598662","US9374739")</f>
        <v>US9374739</v>
      </c>
      <c r="B759" s="3" t="s">
        <v>3416</v>
      </c>
      <c r="C759" s="3" t="s">
        <v>3417</v>
      </c>
      <c r="D759" s="3" t="s">
        <v>52</v>
      </c>
      <c r="E759" s="3" t="s">
        <v>52</v>
      </c>
      <c r="F759" s="3" t="s">
        <v>3418</v>
      </c>
      <c r="G759" s="3" t="s">
        <v>1525</v>
      </c>
      <c r="H759" s="3" t="s">
        <v>3419</v>
      </c>
      <c r="I759" s="3" t="s">
        <v>3420</v>
      </c>
      <c r="J759" s="3" t="s">
        <v>1094</v>
      </c>
      <c r="K759" s="3" t="s">
        <v>82</v>
      </c>
      <c r="L759" s="3" t="s">
        <v>83</v>
      </c>
      <c r="M759" s="3" t="s">
        <v>82</v>
      </c>
      <c r="N759" s="3" t="s">
        <v>3421</v>
      </c>
      <c r="O759" s="3">
        <v>0</v>
      </c>
      <c r="P759" s="3">
        <v>30</v>
      </c>
      <c r="Q759" s="3" t="s">
        <v>60</v>
      </c>
      <c r="R759" s="3" t="s">
        <v>61</v>
      </c>
      <c r="S759" s="3">
        <v>20</v>
      </c>
      <c r="T759" s="3">
        <v>0</v>
      </c>
      <c r="U759" s="3">
        <v>20</v>
      </c>
      <c r="V759" s="3">
        <v>8</v>
      </c>
      <c r="W759" s="3">
        <v>0</v>
      </c>
      <c r="X759" s="3" t="s">
        <v>147</v>
      </c>
      <c r="Y759" s="3">
        <v>0</v>
      </c>
      <c r="Z759" s="3">
        <v>0</v>
      </c>
      <c r="AA759" s="3">
        <v>0</v>
      </c>
      <c r="AB759" s="3">
        <v>0</v>
      </c>
      <c r="AC759" s="3">
        <v>9</v>
      </c>
      <c r="AD759" s="3">
        <v>6</v>
      </c>
      <c r="AE759" s="3">
        <v>14</v>
      </c>
      <c r="AF759" s="3" t="s">
        <v>0</v>
      </c>
      <c r="AG759" s="3" t="s">
        <v>49</v>
      </c>
    </row>
    <row r="760" spans="1:33" ht="38.25" x14ac:dyDescent="0.2">
      <c r="A760" s="5" t="str">
        <f>HYPERLINK("http://www.patentics.cn/invokexml.do?sf=ShowPatent&amp;spn=WO2012109271&amp;sv=086703586279944eff10b1adb8d5d2a5","WO2012109271")</f>
        <v>WO2012109271</v>
      </c>
      <c r="B760" s="3" t="s">
        <v>3546</v>
      </c>
      <c r="C760" s="3" t="s">
        <v>3547</v>
      </c>
      <c r="D760" s="3" t="s">
        <v>3548</v>
      </c>
      <c r="E760" s="3" t="s">
        <v>3549</v>
      </c>
      <c r="F760" s="3" t="s">
        <v>3550</v>
      </c>
      <c r="G760" s="3" t="s">
        <v>3550</v>
      </c>
      <c r="H760" s="3" t="s">
        <v>3551</v>
      </c>
      <c r="I760" s="3" t="s">
        <v>3552</v>
      </c>
      <c r="J760" s="3" t="s">
        <v>3553</v>
      </c>
      <c r="K760" s="3" t="s">
        <v>82</v>
      </c>
      <c r="L760" s="3" t="s">
        <v>997</v>
      </c>
      <c r="M760" s="3" t="s">
        <v>0</v>
      </c>
      <c r="N760" s="3" t="s">
        <v>0</v>
      </c>
      <c r="O760" s="3">
        <v>33</v>
      </c>
      <c r="P760" s="3">
        <v>9</v>
      </c>
      <c r="Q760" s="3" t="s">
        <v>352</v>
      </c>
      <c r="R760" s="3" t="s">
        <v>61</v>
      </c>
      <c r="S760" s="3">
        <v>4</v>
      </c>
      <c r="T760" s="3">
        <v>0</v>
      </c>
      <c r="U760" s="3">
        <v>4</v>
      </c>
      <c r="V760" s="3">
        <v>3</v>
      </c>
      <c r="W760" s="3">
        <v>0</v>
      </c>
      <c r="X760" s="3" t="s">
        <v>147</v>
      </c>
      <c r="Y760" s="3">
        <v>0</v>
      </c>
      <c r="Z760" s="3">
        <v>0</v>
      </c>
      <c r="AA760" s="3">
        <v>0</v>
      </c>
      <c r="AB760" s="3">
        <v>0</v>
      </c>
      <c r="AC760" s="3">
        <v>5</v>
      </c>
      <c r="AD760" s="3">
        <v>6</v>
      </c>
      <c r="AE760" s="3">
        <v>14</v>
      </c>
      <c r="AF760" s="3" t="s">
        <v>0</v>
      </c>
      <c r="AG760" s="3" t="s">
        <v>0</v>
      </c>
    </row>
    <row r="761" spans="1:33" ht="25.5" x14ac:dyDescent="0.2">
      <c r="A761" s="5" t="str">
        <f>HYPERLINK("http://www.patentics.cn/invokexml.do?sf=ShowPatent&amp;spn=CN103262613B&amp;sv=1f907777a347e3153973b0b905bb01ba","CN103262613B")</f>
        <v>CN103262613B</v>
      </c>
      <c r="B761" s="3" t="s">
        <v>3554</v>
      </c>
      <c r="C761" s="3" t="s">
        <v>3555</v>
      </c>
      <c r="D761" s="3" t="s">
        <v>338</v>
      </c>
      <c r="E761" s="3" t="s">
        <v>338</v>
      </c>
      <c r="F761" s="3" t="s">
        <v>3556</v>
      </c>
      <c r="G761" s="3" t="s">
        <v>3557</v>
      </c>
      <c r="H761" s="3" t="s">
        <v>3558</v>
      </c>
      <c r="I761" s="3" t="s">
        <v>3559</v>
      </c>
      <c r="J761" s="3" t="s">
        <v>3560</v>
      </c>
      <c r="K761" s="3" t="s">
        <v>82</v>
      </c>
      <c r="L761" s="3" t="s">
        <v>2789</v>
      </c>
      <c r="M761" s="3" t="s">
        <v>0</v>
      </c>
      <c r="N761" s="3" t="s">
        <v>0</v>
      </c>
      <c r="O761" s="3">
        <v>18</v>
      </c>
      <c r="P761" s="3">
        <v>21</v>
      </c>
      <c r="Q761" s="3" t="s">
        <v>60</v>
      </c>
      <c r="R761" s="3" t="s">
        <v>61</v>
      </c>
      <c r="S761" s="3">
        <v>2</v>
      </c>
      <c r="T761" s="3">
        <v>0</v>
      </c>
      <c r="U761" s="3">
        <v>2</v>
      </c>
      <c r="V761" s="3">
        <v>2</v>
      </c>
      <c r="W761" s="3">
        <v>0</v>
      </c>
      <c r="X761" s="3" t="s">
        <v>147</v>
      </c>
      <c r="Y761" s="3">
        <v>0</v>
      </c>
      <c r="Z761" s="3">
        <v>0</v>
      </c>
      <c r="AA761" s="3">
        <v>0</v>
      </c>
      <c r="AB761" s="3">
        <v>0</v>
      </c>
      <c r="AC761" s="3">
        <v>0</v>
      </c>
      <c r="AD761" s="3">
        <v>0</v>
      </c>
      <c r="AE761" s="3">
        <v>14</v>
      </c>
      <c r="AF761" s="3" t="s">
        <v>0</v>
      </c>
      <c r="AG761" s="3" t="s">
        <v>49</v>
      </c>
    </row>
    <row r="762" spans="1:33" ht="51" x14ac:dyDescent="0.2">
      <c r="A762" s="4" t="str">
        <f>HYPERLINK("http://www.patentics.cn/invokexml.do?sf=ShowPatent&amp;spn=EP2184863&amp;sv=0077e7c982f42b7efe1e27bd5ae9653f","EP2184863")</f>
        <v>EP2184863</v>
      </c>
      <c r="B762" s="2" t="s">
        <v>3561</v>
      </c>
      <c r="C762" s="2" t="s">
        <v>3562</v>
      </c>
      <c r="D762" s="2" t="s">
        <v>346</v>
      </c>
      <c r="E762" s="2" t="s">
        <v>346</v>
      </c>
      <c r="F762" s="2" t="s">
        <v>3563</v>
      </c>
      <c r="G762" s="2" t="s">
        <v>3564</v>
      </c>
      <c r="H762" s="2" t="s">
        <v>3565</v>
      </c>
      <c r="I762" s="2" t="s">
        <v>3566</v>
      </c>
      <c r="J762" s="2" t="s">
        <v>844</v>
      </c>
      <c r="K762" s="2" t="s">
        <v>82</v>
      </c>
      <c r="L762" s="2" t="s">
        <v>3567</v>
      </c>
      <c r="M762" s="2" t="s">
        <v>82</v>
      </c>
      <c r="N762" s="2" t="s">
        <v>3568</v>
      </c>
      <c r="O762" s="2">
        <v>10</v>
      </c>
      <c r="P762" s="2">
        <v>14</v>
      </c>
      <c r="Q762" s="2" t="s">
        <v>352</v>
      </c>
      <c r="R762" s="2" t="s">
        <v>47</v>
      </c>
      <c r="S762" s="2">
        <v>3</v>
      </c>
      <c r="T762" s="2">
        <v>0</v>
      </c>
      <c r="U762" s="2">
        <v>3</v>
      </c>
      <c r="V762" s="2">
        <v>2</v>
      </c>
      <c r="W762" s="2">
        <v>3</v>
      </c>
      <c r="X762" s="2" t="s">
        <v>3052</v>
      </c>
      <c r="Y762" s="2">
        <v>0</v>
      </c>
      <c r="Z762" s="2">
        <v>3</v>
      </c>
      <c r="AA762" s="2">
        <v>1</v>
      </c>
      <c r="AB762" s="2">
        <v>2</v>
      </c>
      <c r="AC762" s="2">
        <v>6</v>
      </c>
      <c r="AD762" s="2">
        <v>4</v>
      </c>
      <c r="AE762" s="2" t="s">
        <v>0</v>
      </c>
      <c r="AF762" s="2">
        <v>3</v>
      </c>
      <c r="AG762" s="2" t="s">
        <v>0</v>
      </c>
    </row>
    <row r="763" spans="1:33" ht="76.5" x14ac:dyDescent="0.2">
      <c r="A763" s="5" t="str">
        <f>HYPERLINK("http://www.patentics.cn/invokexml.do?sf=ShowPatent&amp;spn=US8977270&amp;sv=10d4ed5fa423efd5a1d31ec7bfd98fcf","US8977270")</f>
        <v>US8977270</v>
      </c>
      <c r="B763" s="3" t="s">
        <v>3569</v>
      </c>
      <c r="C763" s="3" t="s">
        <v>3570</v>
      </c>
      <c r="D763" s="3" t="s">
        <v>52</v>
      </c>
      <c r="E763" s="3" t="s">
        <v>52</v>
      </c>
      <c r="F763" s="3" t="s">
        <v>3571</v>
      </c>
      <c r="G763" s="3" t="s">
        <v>3572</v>
      </c>
      <c r="H763" s="3" t="s">
        <v>3573</v>
      </c>
      <c r="I763" s="3" t="s">
        <v>3573</v>
      </c>
      <c r="J763" s="3" t="s">
        <v>3574</v>
      </c>
      <c r="K763" s="3" t="s">
        <v>82</v>
      </c>
      <c r="L763" s="3" t="s">
        <v>177</v>
      </c>
      <c r="M763" s="3" t="s">
        <v>82</v>
      </c>
      <c r="N763" s="3" t="s">
        <v>3575</v>
      </c>
      <c r="O763" s="3">
        <v>0</v>
      </c>
      <c r="P763" s="3">
        <v>12</v>
      </c>
      <c r="Q763" s="3" t="s">
        <v>60</v>
      </c>
      <c r="R763" s="3" t="s">
        <v>61</v>
      </c>
      <c r="S763" s="3">
        <v>8</v>
      </c>
      <c r="T763" s="3">
        <v>2</v>
      </c>
      <c r="U763" s="3">
        <v>6</v>
      </c>
      <c r="V763" s="3">
        <v>5</v>
      </c>
      <c r="W763" s="3">
        <v>0</v>
      </c>
      <c r="X763" s="3" t="s">
        <v>147</v>
      </c>
      <c r="Y763" s="3">
        <v>0</v>
      </c>
      <c r="Z763" s="3">
        <v>0</v>
      </c>
      <c r="AA763" s="3">
        <v>0</v>
      </c>
      <c r="AB763" s="3">
        <v>0</v>
      </c>
      <c r="AC763" s="3">
        <v>3</v>
      </c>
      <c r="AD763" s="3">
        <v>3</v>
      </c>
      <c r="AE763" s="3">
        <v>14</v>
      </c>
      <c r="AF763" s="3" t="s">
        <v>0</v>
      </c>
      <c r="AG763" s="3" t="s">
        <v>49</v>
      </c>
    </row>
    <row r="764" spans="1:33" ht="63.75" x14ac:dyDescent="0.2">
      <c r="A764" s="5" t="str">
        <f>HYPERLINK("http://www.patentics.cn/invokexml.do?sf=ShowPatent&amp;spn=US9113491&amp;sv=681961bb60620f5fa7dbffe7983f873a","US9113491")</f>
        <v>US9113491</v>
      </c>
      <c r="B764" s="3" t="s">
        <v>3576</v>
      </c>
      <c r="C764" s="3" t="s">
        <v>3577</v>
      </c>
      <c r="D764" s="3" t="s">
        <v>52</v>
      </c>
      <c r="E764" s="3" t="s">
        <v>52</v>
      </c>
      <c r="F764" s="3" t="s">
        <v>3578</v>
      </c>
      <c r="G764" s="3" t="s">
        <v>949</v>
      </c>
      <c r="H764" s="3" t="s">
        <v>3579</v>
      </c>
      <c r="I764" s="3" t="s">
        <v>732</v>
      </c>
      <c r="J764" s="3" t="s">
        <v>2440</v>
      </c>
      <c r="K764" s="3" t="s">
        <v>82</v>
      </c>
      <c r="L764" s="3" t="s">
        <v>244</v>
      </c>
      <c r="M764" s="3" t="s">
        <v>0</v>
      </c>
      <c r="N764" s="3" t="s">
        <v>0</v>
      </c>
      <c r="O764" s="3">
        <v>0</v>
      </c>
      <c r="P764" s="3">
        <v>32</v>
      </c>
      <c r="Q764" s="3" t="s">
        <v>60</v>
      </c>
      <c r="R764" s="3" t="s">
        <v>61</v>
      </c>
      <c r="S764" s="3">
        <v>22</v>
      </c>
      <c r="T764" s="3">
        <v>1</v>
      </c>
      <c r="U764" s="3">
        <v>21</v>
      </c>
      <c r="V764" s="3">
        <v>12</v>
      </c>
      <c r="W764" s="3">
        <v>0</v>
      </c>
      <c r="X764" s="3" t="s">
        <v>147</v>
      </c>
      <c r="Y764" s="3">
        <v>0</v>
      </c>
      <c r="Z764" s="3">
        <v>0</v>
      </c>
      <c r="AA764" s="3">
        <v>0</v>
      </c>
      <c r="AB764" s="3">
        <v>0</v>
      </c>
      <c r="AC764" s="3">
        <v>11</v>
      </c>
      <c r="AD764" s="3">
        <v>7</v>
      </c>
      <c r="AE764" s="3">
        <v>14</v>
      </c>
      <c r="AF764" s="3" t="s">
        <v>0</v>
      </c>
      <c r="AG764" s="3" t="s">
        <v>49</v>
      </c>
    </row>
    <row r="765" spans="1:33" ht="63.75" x14ac:dyDescent="0.2">
      <c r="A765" s="5" t="str">
        <f>HYPERLINK("http://www.patentics.cn/invokexml.do?sf=ShowPatent&amp;spn=WO2014201261&amp;sv=4f102ba7a7d867d624da939a7b8caa31","WO2014201261")</f>
        <v>WO2014201261</v>
      </c>
      <c r="B765" s="3" t="s">
        <v>3580</v>
      </c>
      <c r="C765" s="3" t="s">
        <v>3581</v>
      </c>
      <c r="D765" s="3" t="s">
        <v>52</v>
      </c>
      <c r="E765" s="3" t="s">
        <v>52</v>
      </c>
      <c r="F765" s="3" t="s">
        <v>3582</v>
      </c>
      <c r="G765" s="3" t="s">
        <v>3583</v>
      </c>
      <c r="H765" s="3" t="s">
        <v>3584</v>
      </c>
      <c r="I765" s="3" t="s">
        <v>3585</v>
      </c>
      <c r="J765" s="3" t="s">
        <v>3586</v>
      </c>
      <c r="K765" s="3" t="s">
        <v>82</v>
      </c>
      <c r="L765" s="3" t="s">
        <v>792</v>
      </c>
      <c r="M765" s="3" t="s">
        <v>0</v>
      </c>
      <c r="N765" s="3" t="s">
        <v>0</v>
      </c>
      <c r="O765" s="3">
        <v>20</v>
      </c>
      <c r="P765" s="3">
        <v>13</v>
      </c>
      <c r="Q765" s="3" t="s">
        <v>352</v>
      </c>
      <c r="R765" s="3" t="s">
        <v>61</v>
      </c>
      <c r="S765" s="3">
        <v>3</v>
      </c>
      <c r="T765" s="3">
        <v>2</v>
      </c>
      <c r="U765" s="3">
        <v>1</v>
      </c>
      <c r="V765" s="3">
        <v>2</v>
      </c>
      <c r="W765" s="3">
        <v>0</v>
      </c>
      <c r="X765" s="3" t="s">
        <v>147</v>
      </c>
      <c r="Y765" s="3">
        <v>0</v>
      </c>
      <c r="Z765" s="3">
        <v>0</v>
      </c>
      <c r="AA765" s="3">
        <v>0</v>
      </c>
      <c r="AB765" s="3">
        <v>0</v>
      </c>
      <c r="AC765" s="3">
        <v>1</v>
      </c>
      <c r="AD765" s="3">
        <v>2</v>
      </c>
      <c r="AE765" s="3">
        <v>14</v>
      </c>
      <c r="AF765" s="3" t="s">
        <v>0</v>
      </c>
      <c r="AG765" s="3" t="s">
        <v>0</v>
      </c>
    </row>
    <row r="766" spans="1:33" ht="38.25" x14ac:dyDescent="0.2">
      <c r="A766" s="4" t="str">
        <f>HYPERLINK("http://www.patentics.cn/invokexml.do?sf=ShowPatent&amp;spn=EP2077678&amp;sv=13991cc963ec58664076cef99bb42506","EP2077678")</f>
        <v>EP2077678</v>
      </c>
      <c r="B766" s="2" t="s">
        <v>3587</v>
      </c>
      <c r="C766" s="2" t="s">
        <v>3588</v>
      </c>
      <c r="D766" s="2" t="s">
        <v>346</v>
      </c>
      <c r="E766" s="2" t="s">
        <v>346</v>
      </c>
      <c r="F766" s="2" t="s">
        <v>3589</v>
      </c>
      <c r="G766" s="2" t="s">
        <v>3590</v>
      </c>
      <c r="H766" s="2" t="s">
        <v>1360</v>
      </c>
      <c r="I766" s="2" t="s">
        <v>3591</v>
      </c>
      <c r="J766" s="2" t="s">
        <v>2456</v>
      </c>
      <c r="K766" s="2" t="s">
        <v>82</v>
      </c>
      <c r="L766" s="2" t="s">
        <v>3592</v>
      </c>
      <c r="M766" s="2" t="s">
        <v>82</v>
      </c>
      <c r="N766" s="2" t="s">
        <v>2619</v>
      </c>
      <c r="O766" s="2">
        <v>10</v>
      </c>
      <c r="P766" s="2">
        <v>19</v>
      </c>
      <c r="Q766" s="2" t="s">
        <v>352</v>
      </c>
      <c r="R766" s="2" t="s">
        <v>47</v>
      </c>
      <c r="S766" s="2">
        <v>1</v>
      </c>
      <c r="T766" s="2">
        <v>0</v>
      </c>
      <c r="U766" s="2">
        <v>1</v>
      </c>
      <c r="V766" s="2">
        <v>1</v>
      </c>
      <c r="W766" s="2">
        <v>3</v>
      </c>
      <c r="X766" s="2" t="s">
        <v>468</v>
      </c>
      <c r="Y766" s="2">
        <v>0</v>
      </c>
      <c r="Z766" s="2">
        <v>3</v>
      </c>
      <c r="AA766" s="2">
        <v>1</v>
      </c>
      <c r="AB766" s="2">
        <v>2</v>
      </c>
      <c r="AC766" s="2">
        <v>10</v>
      </c>
      <c r="AD766" s="2">
        <v>6</v>
      </c>
      <c r="AE766" s="2" t="s">
        <v>0</v>
      </c>
      <c r="AF766" s="2">
        <v>3</v>
      </c>
      <c r="AG766" s="2" t="s">
        <v>0</v>
      </c>
    </row>
    <row r="767" spans="1:33" ht="63.75" x14ac:dyDescent="0.2">
      <c r="A767" s="5" t="str">
        <f>HYPERLINK("http://www.patentics.cn/invokexml.do?sf=ShowPatent&amp;spn=US9374717&amp;sv=c07d365b7c9d7c6ffdc064e25116f456","US9374717")</f>
        <v>US9374717</v>
      </c>
      <c r="B767" s="3" t="s">
        <v>3593</v>
      </c>
      <c r="C767" s="3" t="s">
        <v>3594</v>
      </c>
      <c r="D767" s="3" t="s">
        <v>52</v>
      </c>
      <c r="E767" s="3" t="s">
        <v>52</v>
      </c>
      <c r="F767" s="3" t="s">
        <v>3595</v>
      </c>
      <c r="G767" s="3" t="s">
        <v>2245</v>
      </c>
      <c r="H767" s="3" t="s">
        <v>3596</v>
      </c>
      <c r="I767" s="3" t="s">
        <v>3597</v>
      </c>
      <c r="J767" s="3" t="s">
        <v>1094</v>
      </c>
      <c r="K767" s="3" t="s">
        <v>82</v>
      </c>
      <c r="L767" s="3" t="s">
        <v>2082</v>
      </c>
      <c r="M767" s="3" t="s">
        <v>82</v>
      </c>
      <c r="N767" s="3" t="s">
        <v>958</v>
      </c>
      <c r="O767" s="3">
        <v>0</v>
      </c>
      <c r="P767" s="3">
        <v>10</v>
      </c>
      <c r="Q767" s="3" t="s">
        <v>60</v>
      </c>
      <c r="R767" s="3" t="s">
        <v>61</v>
      </c>
      <c r="S767" s="3">
        <v>21</v>
      </c>
      <c r="T767" s="3">
        <v>2</v>
      </c>
      <c r="U767" s="3">
        <v>19</v>
      </c>
      <c r="V767" s="3">
        <v>12</v>
      </c>
      <c r="W767" s="3">
        <v>0</v>
      </c>
      <c r="X767" s="3" t="s">
        <v>147</v>
      </c>
      <c r="Y767" s="3">
        <v>0</v>
      </c>
      <c r="Z767" s="3">
        <v>0</v>
      </c>
      <c r="AA767" s="3">
        <v>0</v>
      </c>
      <c r="AB767" s="3">
        <v>0</v>
      </c>
      <c r="AC767" s="3">
        <v>10</v>
      </c>
      <c r="AD767" s="3">
        <v>6</v>
      </c>
      <c r="AE767" s="3">
        <v>14</v>
      </c>
      <c r="AF767" s="3" t="s">
        <v>0</v>
      </c>
      <c r="AG767" s="3" t="s">
        <v>49</v>
      </c>
    </row>
    <row r="768" spans="1:33" ht="51" x14ac:dyDescent="0.2">
      <c r="A768" s="5" t="str">
        <f>HYPERLINK("http://www.patentics.cn/invokexml.do?sf=ShowPatent&amp;spn=WO2013142533&amp;sv=424059d964a9f0d646dfa4c438f8a1a0","WO2013142533")</f>
        <v>WO2013142533</v>
      </c>
      <c r="B768" s="3" t="s">
        <v>3598</v>
      </c>
      <c r="C768" s="3" t="s">
        <v>3599</v>
      </c>
      <c r="D768" s="3" t="s">
        <v>52</v>
      </c>
      <c r="E768" s="3" t="s">
        <v>52</v>
      </c>
      <c r="F768" s="3" t="s">
        <v>3600</v>
      </c>
      <c r="G768" s="3" t="s">
        <v>3601</v>
      </c>
      <c r="H768" s="3" t="s">
        <v>3596</v>
      </c>
      <c r="I768" s="3" t="s">
        <v>3602</v>
      </c>
      <c r="J768" s="3" t="s">
        <v>3603</v>
      </c>
      <c r="K768" s="3" t="s">
        <v>82</v>
      </c>
      <c r="L768" s="3" t="s">
        <v>1431</v>
      </c>
      <c r="M768" s="3" t="s">
        <v>0</v>
      </c>
      <c r="N768" s="3" t="s">
        <v>0</v>
      </c>
      <c r="O768" s="3">
        <v>48</v>
      </c>
      <c r="P768" s="3">
        <v>6</v>
      </c>
      <c r="Q768" s="3" t="s">
        <v>352</v>
      </c>
      <c r="R768" s="3" t="s">
        <v>61</v>
      </c>
      <c r="S768" s="3">
        <v>9</v>
      </c>
      <c r="T768" s="3">
        <v>1</v>
      </c>
      <c r="U768" s="3">
        <v>8</v>
      </c>
      <c r="V768" s="3">
        <v>9</v>
      </c>
      <c r="W768" s="3">
        <v>0</v>
      </c>
      <c r="X768" s="3" t="s">
        <v>147</v>
      </c>
      <c r="Y768" s="3">
        <v>0</v>
      </c>
      <c r="Z768" s="3">
        <v>0</v>
      </c>
      <c r="AA768" s="3">
        <v>0</v>
      </c>
      <c r="AB768" s="3">
        <v>0</v>
      </c>
      <c r="AC768" s="3">
        <v>10</v>
      </c>
      <c r="AD768" s="3">
        <v>6</v>
      </c>
      <c r="AE768" s="3">
        <v>14</v>
      </c>
      <c r="AF768" s="3" t="s">
        <v>0</v>
      </c>
      <c r="AG768" s="3" t="s">
        <v>0</v>
      </c>
    </row>
    <row r="769" spans="1:33" ht="63.75" x14ac:dyDescent="0.2">
      <c r="A769" s="5" t="str">
        <f>HYPERLINK("http://www.patentics.cn/invokexml.do?sf=ShowPatent&amp;spn=WO2013142533A3&amp;sv=c93521ee994a65a876c6a67635ce770b","WO2013142533A3")</f>
        <v>WO2013142533A3</v>
      </c>
      <c r="B769" s="3" t="s">
        <v>3604</v>
      </c>
      <c r="C769" s="3" t="s">
        <v>3605</v>
      </c>
      <c r="D769" s="3" t="s">
        <v>52</v>
      </c>
      <c r="E769" s="3" t="s">
        <v>52</v>
      </c>
      <c r="F769" s="3" t="s">
        <v>3606</v>
      </c>
      <c r="G769" s="3" t="s">
        <v>3607</v>
      </c>
      <c r="H769" s="3" t="s">
        <v>3596</v>
      </c>
      <c r="I769" s="3" t="s">
        <v>3596</v>
      </c>
      <c r="J769" s="3" t="s">
        <v>1701</v>
      </c>
      <c r="K769" s="3" t="s">
        <v>82</v>
      </c>
      <c r="L769" s="3" t="s">
        <v>1431</v>
      </c>
      <c r="M769" s="3" t="s">
        <v>82</v>
      </c>
      <c r="N769" s="3" t="s">
        <v>82</v>
      </c>
      <c r="O769" s="3">
        <v>0</v>
      </c>
      <c r="P769" s="3">
        <v>0</v>
      </c>
      <c r="Q769" s="3" t="s">
        <v>352</v>
      </c>
      <c r="R769" s="3" t="s">
        <v>61</v>
      </c>
      <c r="S769" s="3">
        <v>9</v>
      </c>
      <c r="T769" s="3">
        <v>1</v>
      </c>
      <c r="U769" s="3">
        <v>8</v>
      </c>
      <c r="V769" s="3">
        <v>9</v>
      </c>
      <c r="W769" s="3">
        <v>0</v>
      </c>
      <c r="X769" s="3" t="s">
        <v>147</v>
      </c>
      <c r="Y769" s="3">
        <v>0</v>
      </c>
      <c r="Z769" s="3">
        <v>0</v>
      </c>
      <c r="AA769" s="3">
        <v>0</v>
      </c>
      <c r="AB769" s="3">
        <v>0</v>
      </c>
      <c r="AC769" s="3">
        <v>10</v>
      </c>
      <c r="AD769" s="3">
        <v>6</v>
      </c>
      <c r="AE769" s="3">
        <v>14</v>
      </c>
      <c r="AF769" s="3" t="s">
        <v>0</v>
      </c>
      <c r="AG769" s="3" t="s">
        <v>0</v>
      </c>
    </row>
    <row r="770" spans="1:33" ht="38.25" x14ac:dyDescent="0.2">
      <c r="A770" s="4" t="str">
        <f>HYPERLINK("http://www.patentics.cn/invokexml.do?sf=ShowPatent&amp;spn=EP2068581&amp;sv=11faab053f45bc824c798c643f5202c5","EP2068581")</f>
        <v>EP2068581</v>
      </c>
      <c r="B770" s="2" t="s">
        <v>3608</v>
      </c>
      <c r="C770" s="2" t="s">
        <v>3609</v>
      </c>
      <c r="D770" s="2" t="s">
        <v>346</v>
      </c>
      <c r="E770" s="2" t="s">
        <v>346</v>
      </c>
      <c r="F770" s="2" t="s">
        <v>3610</v>
      </c>
      <c r="G770" s="2" t="s">
        <v>3610</v>
      </c>
      <c r="H770" s="2" t="s">
        <v>3611</v>
      </c>
      <c r="I770" s="2" t="s">
        <v>3612</v>
      </c>
      <c r="J770" s="2" t="s">
        <v>925</v>
      </c>
      <c r="K770" s="2" t="s">
        <v>82</v>
      </c>
      <c r="L770" s="2" t="s">
        <v>177</v>
      </c>
      <c r="M770" s="2" t="s">
        <v>82</v>
      </c>
      <c r="N770" s="2" t="s">
        <v>1011</v>
      </c>
      <c r="O770" s="2">
        <v>10</v>
      </c>
      <c r="P770" s="2">
        <v>21</v>
      </c>
      <c r="Q770" s="2" t="s">
        <v>352</v>
      </c>
      <c r="R770" s="2" t="s">
        <v>47</v>
      </c>
      <c r="S770" s="2">
        <v>4</v>
      </c>
      <c r="T770" s="2">
        <v>0</v>
      </c>
      <c r="U770" s="2">
        <v>4</v>
      </c>
      <c r="V770" s="2">
        <v>2</v>
      </c>
      <c r="W770" s="2">
        <v>9</v>
      </c>
      <c r="X770" s="2" t="s">
        <v>3613</v>
      </c>
      <c r="Y770" s="2">
        <v>0</v>
      </c>
      <c r="Z770" s="2">
        <v>9</v>
      </c>
      <c r="AA770" s="2">
        <v>1</v>
      </c>
      <c r="AB770" s="2">
        <v>4</v>
      </c>
      <c r="AC770" s="2">
        <v>20</v>
      </c>
      <c r="AD770" s="2">
        <v>12</v>
      </c>
      <c r="AE770" s="2" t="s">
        <v>0</v>
      </c>
      <c r="AF770" s="2">
        <v>3</v>
      </c>
      <c r="AG770" s="2" t="s">
        <v>0</v>
      </c>
    </row>
    <row r="771" spans="1:33" ht="38.25" x14ac:dyDescent="0.2">
      <c r="A771" s="5" t="str">
        <f>HYPERLINK("http://www.patentics.cn/invokexml.do?sf=ShowPatent&amp;spn=US9215626&amp;sv=1e4bbaf26734be708e27ba24dd53ddde","US9215626")</f>
        <v>US9215626</v>
      </c>
      <c r="B771" s="3" t="s">
        <v>3614</v>
      </c>
      <c r="C771" s="3" t="s">
        <v>3615</v>
      </c>
      <c r="D771" s="3" t="s">
        <v>52</v>
      </c>
      <c r="E771" s="3" t="s">
        <v>52</v>
      </c>
      <c r="F771" s="3" t="s">
        <v>3616</v>
      </c>
      <c r="G771" s="3" t="s">
        <v>3616</v>
      </c>
      <c r="H771" s="3" t="s">
        <v>3617</v>
      </c>
      <c r="I771" s="3" t="s">
        <v>3618</v>
      </c>
      <c r="J771" s="3" t="s">
        <v>2568</v>
      </c>
      <c r="K771" s="3" t="s">
        <v>82</v>
      </c>
      <c r="L771" s="3" t="s">
        <v>83</v>
      </c>
      <c r="M771" s="3" t="s">
        <v>82</v>
      </c>
      <c r="N771" s="3" t="s">
        <v>3421</v>
      </c>
      <c r="O771" s="3">
        <v>0</v>
      </c>
      <c r="P771" s="3">
        <v>7</v>
      </c>
      <c r="Q771" s="3" t="s">
        <v>60</v>
      </c>
      <c r="R771" s="3" t="s">
        <v>61</v>
      </c>
      <c r="S771" s="3">
        <v>22</v>
      </c>
      <c r="T771" s="3">
        <v>1</v>
      </c>
      <c r="U771" s="3">
        <v>21</v>
      </c>
      <c r="V771" s="3">
        <v>13</v>
      </c>
      <c r="W771" s="3">
        <v>12</v>
      </c>
      <c r="X771" s="3" t="s">
        <v>147</v>
      </c>
      <c r="Y771" s="3">
        <v>0</v>
      </c>
      <c r="Z771" s="3">
        <v>12</v>
      </c>
      <c r="AA771" s="3">
        <v>0</v>
      </c>
      <c r="AB771" s="3">
        <v>1</v>
      </c>
      <c r="AC771" s="3">
        <v>8</v>
      </c>
      <c r="AD771" s="3">
        <v>6</v>
      </c>
      <c r="AE771" s="3">
        <v>14</v>
      </c>
      <c r="AF771" s="3" t="s">
        <v>0</v>
      </c>
      <c r="AG771" s="3" t="s">
        <v>49</v>
      </c>
    </row>
    <row r="772" spans="1:33" ht="38.25" x14ac:dyDescent="0.2">
      <c r="A772" s="5" t="str">
        <f>HYPERLINK("http://www.patentics.cn/invokexml.do?sf=ShowPatent&amp;spn=WO2011163597&amp;sv=554b758788ee9f611b078b450bee4785","WO2011163597")</f>
        <v>WO2011163597</v>
      </c>
      <c r="B772" s="3" t="s">
        <v>3619</v>
      </c>
      <c r="C772" s="3" t="s">
        <v>3615</v>
      </c>
      <c r="D772" s="3" t="s">
        <v>3620</v>
      </c>
      <c r="E772" s="3" t="s">
        <v>3621</v>
      </c>
      <c r="F772" s="3" t="s">
        <v>3622</v>
      </c>
      <c r="G772" s="3" t="s">
        <v>3622</v>
      </c>
      <c r="H772" s="3" t="s">
        <v>3617</v>
      </c>
      <c r="I772" s="3" t="s">
        <v>3623</v>
      </c>
      <c r="J772" s="3" t="s">
        <v>3196</v>
      </c>
      <c r="K772" s="3" t="s">
        <v>82</v>
      </c>
      <c r="L772" s="3" t="s">
        <v>1560</v>
      </c>
      <c r="M772" s="3" t="s">
        <v>0</v>
      </c>
      <c r="N772" s="3" t="s">
        <v>0</v>
      </c>
      <c r="O772" s="3">
        <v>52</v>
      </c>
      <c r="P772" s="3">
        <v>6</v>
      </c>
      <c r="Q772" s="3" t="s">
        <v>352</v>
      </c>
      <c r="R772" s="3" t="s">
        <v>61</v>
      </c>
      <c r="S772" s="3">
        <v>4</v>
      </c>
      <c r="T772" s="3">
        <v>0</v>
      </c>
      <c r="U772" s="3">
        <v>4</v>
      </c>
      <c r="V772" s="3">
        <v>4</v>
      </c>
      <c r="W772" s="3">
        <v>12</v>
      </c>
      <c r="X772" s="3" t="s">
        <v>147</v>
      </c>
      <c r="Y772" s="3">
        <v>0</v>
      </c>
      <c r="Z772" s="3">
        <v>12</v>
      </c>
      <c r="AA772" s="3">
        <v>0</v>
      </c>
      <c r="AB772" s="3">
        <v>1</v>
      </c>
      <c r="AC772" s="3">
        <v>8</v>
      </c>
      <c r="AD772" s="3">
        <v>6</v>
      </c>
      <c r="AE772" s="3">
        <v>14</v>
      </c>
      <c r="AF772" s="3" t="s">
        <v>0</v>
      </c>
      <c r="AG772" s="3" t="s">
        <v>0</v>
      </c>
    </row>
    <row r="773" spans="1:33" ht="25.5" x14ac:dyDescent="0.2">
      <c r="A773" s="5" t="str">
        <f>HYPERLINK("http://www.patentics.cn/invokexml.do?sf=ShowPatent&amp;spn=CN103069878B&amp;sv=1339f79878df9ca235ba0351515bb410","CN103069878B")</f>
        <v>CN103069878B</v>
      </c>
      <c r="B773" s="3" t="s">
        <v>3624</v>
      </c>
      <c r="C773" s="3" t="s">
        <v>3625</v>
      </c>
      <c r="D773" s="3" t="s">
        <v>338</v>
      </c>
      <c r="E773" s="3" t="s">
        <v>338</v>
      </c>
      <c r="F773" s="3" t="s">
        <v>3626</v>
      </c>
      <c r="G773" s="3" t="s">
        <v>3626</v>
      </c>
      <c r="H773" s="3" t="s">
        <v>3617</v>
      </c>
      <c r="I773" s="3" t="s">
        <v>3623</v>
      </c>
      <c r="J773" s="3" t="s">
        <v>2487</v>
      </c>
      <c r="K773" s="3" t="s">
        <v>82</v>
      </c>
      <c r="L773" s="3" t="s">
        <v>177</v>
      </c>
      <c r="M773" s="3" t="s">
        <v>0</v>
      </c>
      <c r="N773" s="3" t="s">
        <v>0</v>
      </c>
      <c r="O773" s="3">
        <v>24</v>
      </c>
      <c r="P773" s="3">
        <v>14</v>
      </c>
      <c r="Q773" s="3" t="s">
        <v>60</v>
      </c>
      <c r="R773" s="3" t="s">
        <v>61</v>
      </c>
      <c r="S773" s="3">
        <v>3</v>
      </c>
      <c r="T773" s="3">
        <v>0</v>
      </c>
      <c r="U773" s="3">
        <v>3</v>
      </c>
      <c r="V773" s="3">
        <v>2</v>
      </c>
      <c r="W773" s="3">
        <v>12</v>
      </c>
      <c r="X773" s="3" t="s">
        <v>147</v>
      </c>
      <c r="Y773" s="3">
        <v>0</v>
      </c>
      <c r="Z773" s="3">
        <v>12</v>
      </c>
      <c r="AA773" s="3">
        <v>0</v>
      </c>
      <c r="AB773" s="3">
        <v>1</v>
      </c>
      <c r="AC773" s="3">
        <v>0</v>
      </c>
      <c r="AD773" s="3">
        <v>0</v>
      </c>
      <c r="AE773" s="3">
        <v>14</v>
      </c>
      <c r="AF773" s="3" t="s">
        <v>0</v>
      </c>
      <c r="AG773" s="3" t="s">
        <v>49</v>
      </c>
    </row>
    <row r="774" spans="1:33" ht="76.5" x14ac:dyDescent="0.2">
      <c r="A774" s="4" t="str">
        <f>HYPERLINK("http://www.patentics.cn/invokexml.do?sf=ShowPatent&amp;spn=EP1912363&amp;sv=30d80b8aef85a03e649b42d3fc86e6b7","EP1912363")</f>
        <v>EP1912363</v>
      </c>
      <c r="B774" s="2" t="s">
        <v>3627</v>
      </c>
      <c r="C774" s="2" t="s">
        <v>3628</v>
      </c>
      <c r="D774" s="2" t="s">
        <v>346</v>
      </c>
      <c r="E774" s="2" t="s">
        <v>346</v>
      </c>
      <c r="F774" s="2" t="s">
        <v>3629</v>
      </c>
      <c r="G774" s="2" t="s">
        <v>2386</v>
      </c>
      <c r="H774" s="2" t="s">
        <v>3630</v>
      </c>
      <c r="I774" s="2" t="s">
        <v>3630</v>
      </c>
      <c r="J774" s="2" t="s">
        <v>3631</v>
      </c>
      <c r="K774" s="2" t="s">
        <v>84</v>
      </c>
      <c r="L774" s="2" t="s">
        <v>1300</v>
      </c>
      <c r="M774" s="2" t="s">
        <v>82</v>
      </c>
      <c r="N774" s="2" t="s">
        <v>3632</v>
      </c>
      <c r="O774" s="2">
        <v>16</v>
      </c>
      <c r="P774" s="2">
        <v>16</v>
      </c>
      <c r="Q774" s="2" t="s">
        <v>352</v>
      </c>
      <c r="R774" s="2" t="s">
        <v>47</v>
      </c>
      <c r="S774" s="2">
        <v>4</v>
      </c>
      <c r="T774" s="2">
        <v>1</v>
      </c>
      <c r="U774" s="2">
        <v>3</v>
      </c>
      <c r="V774" s="2">
        <v>4</v>
      </c>
      <c r="W774" s="2">
        <v>3</v>
      </c>
      <c r="X774" s="2" t="s">
        <v>3633</v>
      </c>
      <c r="Y774" s="2">
        <v>0</v>
      </c>
      <c r="Z774" s="2">
        <v>3</v>
      </c>
      <c r="AA774" s="2">
        <v>1</v>
      </c>
      <c r="AB774" s="2">
        <v>2</v>
      </c>
      <c r="AC774" s="2">
        <v>5</v>
      </c>
      <c r="AD774" s="2">
        <v>3</v>
      </c>
      <c r="AE774" s="2" t="s">
        <v>0</v>
      </c>
      <c r="AF774" s="2">
        <v>3</v>
      </c>
      <c r="AG774" s="2" t="s">
        <v>0</v>
      </c>
    </row>
    <row r="775" spans="1:33" ht="38.25" x14ac:dyDescent="0.2">
      <c r="A775" s="5" t="str">
        <f>HYPERLINK("http://www.patentics.cn/invokexml.do?sf=ShowPatent&amp;spn=US8457044&amp;sv=c4b1d8d6446c52df8076b503d6d0afe2","US8457044")</f>
        <v>US8457044</v>
      </c>
      <c r="B775" s="3" t="s">
        <v>3634</v>
      </c>
      <c r="C775" s="3" t="s">
        <v>3635</v>
      </c>
      <c r="D775" s="3" t="s">
        <v>52</v>
      </c>
      <c r="E775" s="3" t="s">
        <v>52</v>
      </c>
      <c r="F775" s="3" t="s">
        <v>3636</v>
      </c>
      <c r="G775" s="3" t="s">
        <v>3636</v>
      </c>
      <c r="H775" s="3" t="s">
        <v>3637</v>
      </c>
      <c r="I775" s="3" t="s">
        <v>1602</v>
      </c>
      <c r="J775" s="3" t="s">
        <v>3638</v>
      </c>
      <c r="K775" s="3" t="s">
        <v>82</v>
      </c>
      <c r="L775" s="3" t="s">
        <v>83</v>
      </c>
      <c r="M775" s="3" t="s">
        <v>58</v>
      </c>
      <c r="N775" s="3" t="s">
        <v>3639</v>
      </c>
      <c r="O775" s="3">
        <v>0</v>
      </c>
      <c r="P775" s="3">
        <v>23</v>
      </c>
      <c r="Q775" s="3" t="s">
        <v>60</v>
      </c>
      <c r="R775" s="3" t="s">
        <v>61</v>
      </c>
      <c r="S775" s="3">
        <v>34</v>
      </c>
      <c r="T775" s="3">
        <v>8</v>
      </c>
      <c r="U775" s="3">
        <v>26</v>
      </c>
      <c r="V775" s="3">
        <v>18</v>
      </c>
      <c r="W775" s="3">
        <v>4</v>
      </c>
      <c r="X775" s="3" t="s">
        <v>905</v>
      </c>
      <c r="Y775" s="3">
        <v>3</v>
      </c>
      <c r="Z775" s="3">
        <v>1</v>
      </c>
      <c r="AA775" s="3">
        <v>2</v>
      </c>
      <c r="AB775" s="3">
        <v>1</v>
      </c>
      <c r="AC775" s="3">
        <v>12</v>
      </c>
      <c r="AD775" s="3">
        <v>6</v>
      </c>
      <c r="AE775" s="3">
        <v>14</v>
      </c>
      <c r="AF775" s="3" t="s">
        <v>0</v>
      </c>
      <c r="AG775" s="3" t="s">
        <v>49</v>
      </c>
    </row>
    <row r="776" spans="1:33" ht="38.25" x14ac:dyDescent="0.2">
      <c r="A776" s="5" t="str">
        <f>HYPERLINK("http://www.patentics.cn/invokexml.do?sf=ShowPatent&amp;spn=US9198006&amp;sv=a4dfc21f27e912a3b79bfd9a027e2cda","US9198006")</f>
        <v>US9198006</v>
      </c>
      <c r="B776" s="3" t="s">
        <v>3640</v>
      </c>
      <c r="C776" s="3" t="s">
        <v>3635</v>
      </c>
      <c r="D776" s="3" t="s">
        <v>52</v>
      </c>
      <c r="E776" s="3" t="s">
        <v>52</v>
      </c>
      <c r="F776" s="3" t="s">
        <v>3636</v>
      </c>
      <c r="G776" s="3" t="s">
        <v>3636</v>
      </c>
      <c r="H776" s="3" t="s">
        <v>3637</v>
      </c>
      <c r="I776" s="3" t="s">
        <v>3641</v>
      </c>
      <c r="J776" s="3" t="s">
        <v>1856</v>
      </c>
      <c r="K776" s="3" t="s">
        <v>82</v>
      </c>
      <c r="L776" s="3" t="s">
        <v>3029</v>
      </c>
      <c r="M776" s="3" t="s">
        <v>82</v>
      </c>
      <c r="N776" s="3" t="s">
        <v>3642</v>
      </c>
      <c r="O776" s="3">
        <v>0</v>
      </c>
      <c r="P776" s="3">
        <v>18</v>
      </c>
      <c r="Q776" s="3" t="s">
        <v>60</v>
      </c>
      <c r="R776" s="3" t="s">
        <v>61</v>
      </c>
      <c r="S776" s="3">
        <v>41</v>
      </c>
      <c r="T776" s="3">
        <v>10</v>
      </c>
      <c r="U776" s="3">
        <v>31</v>
      </c>
      <c r="V776" s="3">
        <v>20</v>
      </c>
      <c r="W776" s="3">
        <v>0</v>
      </c>
      <c r="X776" s="3" t="s">
        <v>147</v>
      </c>
      <c r="Y776" s="3">
        <v>0</v>
      </c>
      <c r="Z776" s="3">
        <v>0</v>
      </c>
      <c r="AA776" s="3">
        <v>0</v>
      </c>
      <c r="AB776" s="3">
        <v>0</v>
      </c>
      <c r="AC776" s="3">
        <v>12</v>
      </c>
      <c r="AD776" s="3">
        <v>6</v>
      </c>
      <c r="AE776" s="3">
        <v>14</v>
      </c>
      <c r="AF776" s="3" t="s">
        <v>0</v>
      </c>
      <c r="AG776" s="3" t="s">
        <v>49</v>
      </c>
    </row>
    <row r="777" spans="1:33" ht="89.25" x14ac:dyDescent="0.2">
      <c r="A777" s="5" t="str">
        <f>HYPERLINK("http://www.patentics.cn/invokexml.do?sf=ShowPatent&amp;spn=WO2009042521&amp;sv=166fb3db5e42d238d2e769828e401e6a","WO2009042521")</f>
        <v>WO2009042521</v>
      </c>
      <c r="B777" s="3" t="s">
        <v>3643</v>
      </c>
      <c r="C777" s="3" t="s">
        <v>3644</v>
      </c>
      <c r="D777" s="3" t="s">
        <v>3645</v>
      </c>
      <c r="E777" s="3" t="s">
        <v>3646</v>
      </c>
      <c r="F777" s="3" t="s">
        <v>3647</v>
      </c>
      <c r="G777" s="3" t="s">
        <v>3648</v>
      </c>
      <c r="H777" s="3" t="s">
        <v>3637</v>
      </c>
      <c r="I777" s="3" t="s">
        <v>2188</v>
      </c>
      <c r="J777" s="3" t="s">
        <v>3649</v>
      </c>
      <c r="K777" s="3" t="s">
        <v>82</v>
      </c>
      <c r="L777" s="3" t="s">
        <v>1177</v>
      </c>
      <c r="M777" s="3" t="s">
        <v>0</v>
      </c>
      <c r="N777" s="3" t="s">
        <v>0</v>
      </c>
      <c r="O777" s="3">
        <v>27</v>
      </c>
      <c r="P777" s="3">
        <v>15</v>
      </c>
      <c r="Q777" s="3" t="s">
        <v>352</v>
      </c>
      <c r="R777" s="3" t="s">
        <v>61</v>
      </c>
      <c r="S777" s="3">
        <v>6</v>
      </c>
      <c r="T777" s="3">
        <v>3</v>
      </c>
      <c r="U777" s="3">
        <v>3</v>
      </c>
      <c r="V777" s="3">
        <v>3</v>
      </c>
      <c r="W777" s="3">
        <v>0</v>
      </c>
      <c r="X777" s="3" t="s">
        <v>147</v>
      </c>
      <c r="Y777" s="3">
        <v>0</v>
      </c>
      <c r="Z777" s="3">
        <v>0</v>
      </c>
      <c r="AA777" s="3">
        <v>0</v>
      </c>
      <c r="AB777" s="3">
        <v>0</v>
      </c>
      <c r="AC777" s="3">
        <v>12</v>
      </c>
      <c r="AD777" s="3">
        <v>6</v>
      </c>
      <c r="AE777" s="3">
        <v>14</v>
      </c>
      <c r="AF777" s="3" t="s">
        <v>0</v>
      </c>
      <c r="AG777" s="3" t="s">
        <v>0</v>
      </c>
    </row>
    <row r="778" spans="1:33" ht="63.75" x14ac:dyDescent="0.2">
      <c r="A778" s="4" t="str">
        <f>HYPERLINK("http://www.patentics.cn/invokexml.do?sf=ShowPatent&amp;spn=EP1858175&amp;sv=46ab68bae4de7d2e3048c3b141966508","EP1858175")</f>
        <v>EP1858175</v>
      </c>
      <c r="B778" s="2" t="s">
        <v>3650</v>
      </c>
      <c r="C778" s="2" t="s">
        <v>3651</v>
      </c>
      <c r="D778" s="2" t="s">
        <v>346</v>
      </c>
      <c r="E778" s="2" t="s">
        <v>346</v>
      </c>
      <c r="F778" s="2" t="s">
        <v>3652</v>
      </c>
      <c r="G778" s="2" t="s">
        <v>3653</v>
      </c>
      <c r="H778" s="2" t="s">
        <v>3654</v>
      </c>
      <c r="I778" s="2" t="s">
        <v>3655</v>
      </c>
      <c r="J778" s="2" t="s">
        <v>3656</v>
      </c>
      <c r="K778" s="2" t="s">
        <v>84</v>
      </c>
      <c r="L778" s="2" t="s">
        <v>3657</v>
      </c>
      <c r="M778" s="2" t="s">
        <v>84</v>
      </c>
      <c r="N778" s="2" t="s">
        <v>3658</v>
      </c>
      <c r="O778" s="2">
        <v>17</v>
      </c>
      <c r="P778" s="2">
        <v>22</v>
      </c>
      <c r="Q778" s="2" t="s">
        <v>352</v>
      </c>
      <c r="R778" s="2" t="s">
        <v>47</v>
      </c>
      <c r="S778" s="2">
        <v>1</v>
      </c>
      <c r="T778" s="2">
        <v>0</v>
      </c>
      <c r="U778" s="2">
        <v>1</v>
      </c>
      <c r="V778" s="2">
        <v>1</v>
      </c>
      <c r="W778" s="2">
        <v>3</v>
      </c>
      <c r="X778" s="2" t="s">
        <v>2595</v>
      </c>
      <c r="Y778" s="2">
        <v>0</v>
      </c>
      <c r="Z778" s="2">
        <v>3</v>
      </c>
      <c r="AA778" s="2">
        <v>1</v>
      </c>
      <c r="AB778" s="2">
        <v>3</v>
      </c>
      <c r="AC778" s="2">
        <v>11</v>
      </c>
      <c r="AD778" s="2">
        <v>8</v>
      </c>
      <c r="AE778" s="2" t="s">
        <v>0</v>
      </c>
      <c r="AF778" s="2">
        <v>3</v>
      </c>
      <c r="AG778" s="2" t="s">
        <v>0</v>
      </c>
    </row>
    <row r="779" spans="1:33" ht="89.25" x14ac:dyDescent="0.2">
      <c r="A779" s="5" t="str">
        <f>HYPERLINK("http://www.patentics.cn/invokexml.do?sf=ShowPatent&amp;spn=US8666004&amp;sv=894317a35d7a1760995b1d313ead38e9","US8666004")</f>
        <v>US8666004</v>
      </c>
      <c r="B779" s="3" t="s">
        <v>3659</v>
      </c>
      <c r="C779" s="3" t="s">
        <v>3660</v>
      </c>
      <c r="D779" s="3" t="s">
        <v>52</v>
      </c>
      <c r="E779" s="3" t="s">
        <v>52</v>
      </c>
      <c r="F779" s="3" t="s">
        <v>3661</v>
      </c>
      <c r="G779" s="3" t="s">
        <v>3662</v>
      </c>
      <c r="H779" s="3" t="s">
        <v>3663</v>
      </c>
      <c r="I779" s="3" t="s">
        <v>3663</v>
      </c>
      <c r="J779" s="3" t="s">
        <v>2610</v>
      </c>
      <c r="K779" s="3" t="s">
        <v>58</v>
      </c>
      <c r="L779" s="3" t="s">
        <v>450</v>
      </c>
      <c r="M779" s="3" t="s">
        <v>84</v>
      </c>
      <c r="N779" s="3" t="s">
        <v>3664</v>
      </c>
      <c r="O779" s="3">
        <v>0</v>
      </c>
      <c r="P779" s="3">
        <v>14</v>
      </c>
      <c r="Q779" s="3" t="s">
        <v>60</v>
      </c>
      <c r="R779" s="3" t="s">
        <v>61</v>
      </c>
      <c r="S779" s="3">
        <v>19</v>
      </c>
      <c r="T779" s="3">
        <v>0</v>
      </c>
      <c r="U779" s="3">
        <v>19</v>
      </c>
      <c r="V779" s="3">
        <v>8</v>
      </c>
      <c r="W779" s="3">
        <v>2</v>
      </c>
      <c r="X779" s="3" t="s">
        <v>104</v>
      </c>
      <c r="Y779" s="3">
        <v>0</v>
      </c>
      <c r="Z779" s="3">
        <v>2</v>
      </c>
      <c r="AA779" s="3">
        <v>2</v>
      </c>
      <c r="AB779" s="3">
        <v>1</v>
      </c>
      <c r="AC779" s="3">
        <v>13</v>
      </c>
      <c r="AD779" s="3">
        <v>9</v>
      </c>
      <c r="AE779" s="3">
        <v>14</v>
      </c>
      <c r="AF779" s="3" t="s">
        <v>0</v>
      </c>
      <c r="AG779" s="3" t="s">
        <v>49</v>
      </c>
    </row>
    <row r="780" spans="1:33" ht="76.5" x14ac:dyDescent="0.2">
      <c r="A780" s="5" t="str">
        <f>HYPERLINK("http://www.patentics.cn/invokexml.do?sf=ShowPatent&amp;spn=WO2009142964&amp;sv=d90bff973bec007a9570a1c593dc82ff","WO2009142964")</f>
        <v>WO2009142964</v>
      </c>
      <c r="B780" s="3" t="s">
        <v>3665</v>
      </c>
      <c r="C780" s="3" t="s">
        <v>3666</v>
      </c>
      <c r="D780" s="3" t="s">
        <v>3667</v>
      </c>
      <c r="E780" s="3" t="s">
        <v>3668</v>
      </c>
      <c r="F780" s="3" t="s">
        <v>3669</v>
      </c>
      <c r="G780" s="3" t="s">
        <v>3670</v>
      </c>
      <c r="H780" s="3" t="s">
        <v>3663</v>
      </c>
      <c r="I780" s="3" t="s">
        <v>3671</v>
      </c>
      <c r="J780" s="3" t="s">
        <v>3672</v>
      </c>
      <c r="K780" s="3" t="s">
        <v>84</v>
      </c>
      <c r="L780" s="3" t="s">
        <v>401</v>
      </c>
      <c r="M780" s="3" t="s">
        <v>0</v>
      </c>
      <c r="N780" s="3" t="s">
        <v>0</v>
      </c>
      <c r="O780" s="3">
        <v>46</v>
      </c>
      <c r="P780" s="3">
        <v>4</v>
      </c>
      <c r="Q780" s="3" t="s">
        <v>352</v>
      </c>
      <c r="R780" s="3" t="s">
        <v>61</v>
      </c>
      <c r="S780" s="3">
        <v>2</v>
      </c>
      <c r="T780" s="3">
        <v>0</v>
      </c>
      <c r="U780" s="3">
        <v>2</v>
      </c>
      <c r="V780" s="3">
        <v>2</v>
      </c>
      <c r="W780" s="3">
        <v>1</v>
      </c>
      <c r="X780" s="3" t="s">
        <v>403</v>
      </c>
      <c r="Y780" s="3">
        <v>0</v>
      </c>
      <c r="Z780" s="3">
        <v>1</v>
      </c>
      <c r="AA780" s="3">
        <v>1</v>
      </c>
      <c r="AB780" s="3">
        <v>1</v>
      </c>
      <c r="AC780" s="3">
        <v>13</v>
      </c>
      <c r="AD780" s="3">
        <v>9</v>
      </c>
      <c r="AE780" s="3">
        <v>14</v>
      </c>
      <c r="AF780" s="3" t="s">
        <v>0</v>
      </c>
      <c r="AG780" s="3" t="s">
        <v>0</v>
      </c>
    </row>
    <row r="781" spans="1:33" ht="127.5" x14ac:dyDescent="0.2">
      <c r="A781" s="5" t="str">
        <f>HYPERLINK("http://www.patentics.cn/invokexml.do?sf=ShowPatent&amp;spn=RU2470460C2&amp;sv=c917b07f329555c3c1f72a126b2e6d0e","RU2470460C2")</f>
        <v>RU2470460C2</v>
      </c>
      <c r="B781" s="3" t="s">
        <v>3673</v>
      </c>
      <c r="C781" s="3" t="s">
        <v>3674</v>
      </c>
      <c r="D781" s="3" t="s">
        <v>52</v>
      </c>
      <c r="E781" s="3" t="s">
        <v>52</v>
      </c>
      <c r="F781" s="3" t="s">
        <v>3675</v>
      </c>
      <c r="G781" s="3" t="s">
        <v>3676</v>
      </c>
      <c r="H781" s="3" t="s">
        <v>3663</v>
      </c>
      <c r="I781" s="3" t="s">
        <v>3671</v>
      </c>
      <c r="J781" s="3" t="s">
        <v>3677</v>
      </c>
      <c r="K781" s="3" t="s">
        <v>84</v>
      </c>
      <c r="L781" s="3" t="s">
        <v>401</v>
      </c>
      <c r="M781" s="3" t="s">
        <v>84</v>
      </c>
      <c r="N781" s="3" t="s">
        <v>3664</v>
      </c>
      <c r="O781" s="3">
        <v>0</v>
      </c>
      <c r="P781" s="3">
        <v>0</v>
      </c>
      <c r="Q781" s="3" t="s">
        <v>60</v>
      </c>
      <c r="R781" s="3" t="s">
        <v>61</v>
      </c>
      <c r="S781" s="3">
        <v>3</v>
      </c>
      <c r="T781" s="3">
        <v>0</v>
      </c>
      <c r="U781" s="3">
        <v>3</v>
      </c>
      <c r="V781" s="3">
        <v>3</v>
      </c>
      <c r="W781" s="3">
        <v>0</v>
      </c>
      <c r="X781" s="3" t="s">
        <v>147</v>
      </c>
      <c r="Y781" s="3">
        <v>0</v>
      </c>
      <c r="Z781" s="3">
        <v>0</v>
      </c>
      <c r="AA781" s="3">
        <v>0</v>
      </c>
      <c r="AB781" s="3">
        <v>0</v>
      </c>
      <c r="AC781" s="3">
        <v>13</v>
      </c>
      <c r="AD781" s="3">
        <v>9</v>
      </c>
      <c r="AE781" s="3">
        <v>14</v>
      </c>
      <c r="AF781" s="3" t="s">
        <v>0</v>
      </c>
      <c r="AG781" s="3" t="s">
        <v>0</v>
      </c>
    </row>
    <row r="782" spans="1:33" ht="63.75" x14ac:dyDescent="0.2">
      <c r="A782" s="4" t="str">
        <f>HYPERLINK("http://www.patentics.cn/invokexml.do?sf=ShowPatent&amp;spn=EP1626514&amp;sv=f8ea877a87c136a0d344b8fe16e32892","EP1626514")</f>
        <v>EP1626514</v>
      </c>
      <c r="B782" s="2" t="s">
        <v>3678</v>
      </c>
      <c r="C782" s="2" t="s">
        <v>3679</v>
      </c>
      <c r="D782" s="2" t="s">
        <v>346</v>
      </c>
      <c r="E782" s="2" t="s">
        <v>346</v>
      </c>
      <c r="F782" s="2" t="s">
        <v>3680</v>
      </c>
      <c r="G782" s="2" t="s">
        <v>3681</v>
      </c>
      <c r="H782" s="2" t="s">
        <v>3682</v>
      </c>
      <c r="I782" s="2" t="s">
        <v>750</v>
      </c>
      <c r="J782" s="2" t="s">
        <v>3683</v>
      </c>
      <c r="K782" s="2" t="s">
        <v>70</v>
      </c>
      <c r="L782" s="2" t="s">
        <v>3121</v>
      </c>
      <c r="M782" s="2" t="s">
        <v>70</v>
      </c>
      <c r="N782" s="2" t="s">
        <v>3684</v>
      </c>
      <c r="O782" s="2">
        <v>8</v>
      </c>
      <c r="P782" s="2">
        <v>13</v>
      </c>
      <c r="Q782" s="2" t="s">
        <v>352</v>
      </c>
      <c r="R782" s="2" t="s">
        <v>47</v>
      </c>
      <c r="S782" s="2">
        <v>1</v>
      </c>
      <c r="T782" s="2">
        <v>0</v>
      </c>
      <c r="U782" s="2">
        <v>1</v>
      </c>
      <c r="V782" s="2">
        <v>1</v>
      </c>
      <c r="W782" s="2">
        <v>4</v>
      </c>
      <c r="X782" s="2" t="s">
        <v>3685</v>
      </c>
      <c r="Y782" s="2">
        <v>0</v>
      </c>
      <c r="Z782" s="2">
        <v>4</v>
      </c>
      <c r="AA782" s="2">
        <v>2</v>
      </c>
      <c r="AB782" s="2">
        <v>2</v>
      </c>
      <c r="AC782" s="2">
        <v>8</v>
      </c>
      <c r="AD782" s="2">
        <v>6</v>
      </c>
      <c r="AE782" s="2" t="s">
        <v>0</v>
      </c>
      <c r="AF782" s="2">
        <v>3</v>
      </c>
      <c r="AG782" s="2" t="s">
        <v>0</v>
      </c>
    </row>
    <row r="783" spans="1:33" ht="51" x14ac:dyDescent="0.2">
      <c r="A783" s="5" t="str">
        <f>HYPERLINK("http://www.patentics.cn/invokexml.do?sf=ShowPatent&amp;spn=US8638712&amp;sv=4eacf42a1e290d4704c06fa0bdba6dbf","US8638712")</f>
        <v>US8638712</v>
      </c>
      <c r="B783" s="3" t="s">
        <v>3686</v>
      </c>
      <c r="C783" s="3" t="s">
        <v>3687</v>
      </c>
      <c r="D783" s="3" t="s">
        <v>52</v>
      </c>
      <c r="E783" s="3" t="s">
        <v>52</v>
      </c>
      <c r="F783" s="3" t="s">
        <v>3688</v>
      </c>
      <c r="G783" s="3" t="s">
        <v>112</v>
      </c>
      <c r="H783" s="3" t="s">
        <v>3689</v>
      </c>
      <c r="I783" s="3" t="s">
        <v>3690</v>
      </c>
      <c r="J783" s="3" t="s">
        <v>892</v>
      </c>
      <c r="K783" s="3" t="s">
        <v>84</v>
      </c>
      <c r="L783" s="3" t="s">
        <v>114</v>
      </c>
      <c r="M783" s="3" t="s">
        <v>70</v>
      </c>
      <c r="N783" s="3" t="s">
        <v>3691</v>
      </c>
      <c r="O783" s="3">
        <v>0</v>
      </c>
      <c r="P783" s="3">
        <v>12</v>
      </c>
      <c r="Q783" s="3" t="s">
        <v>60</v>
      </c>
      <c r="R783" s="3" t="s">
        <v>61</v>
      </c>
      <c r="S783" s="3">
        <v>32</v>
      </c>
      <c r="T783" s="3">
        <v>5</v>
      </c>
      <c r="U783" s="3">
        <v>27</v>
      </c>
      <c r="V783" s="3">
        <v>14</v>
      </c>
      <c r="W783" s="3">
        <v>3</v>
      </c>
      <c r="X783" s="3" t="s">
        <v>3692</v>
      </c>
      <c r="Y783" s="3">
        <v>2</v>
      </c>
      <c r="Z783" s="3">
        <v>1</v>
      </c>
      <c r="AA783" s="3">
        <v>2</v>
      </c>
      <c r="AB783" s="3">
        <v>1</v>
      </c>
      <c r="AC783" s="3">
        <v>22</v>
      </c>
      <c r="AD783" s="3">
        <v>10</v>
      </c>
      <c r="AE783" s="3">
        <v>14</v>
      </c>
      <c r="AF783" s="3" t="s">
        <v>0</v>
      </c>
      <c r="AG783" s="3" t="s">
        <v>49</v>
      </c>
    </row>
    <row r="784" spans="1:33" ht="51" x14ac:dyDescent="0.2">
      <c r="A784" s="5" t="str">
        <f>HYPERLINK("http://www.patentics.cn/invokexml.do?sf=ShowPatent&amp;spn=US9413481&amp;sv=ed9a9590c55cd958568b90c1b0683bb0","US9413481")</f>
        <v>US9413481</v>
      </c>
      <c r="B784" s="3" t="s">
        <v>3693</v>
      </c>
      <c r="C784" s="3" t="s">
        <v>3687</v>
      </c>
      <c r="D784" s="3" t="s">
        <v>52</v>
      </c>
      <c r="E784" s="3" t="s">
        <v>52</v>
      </c>
      <c r="F784" s="3" t="s">
        <v>3688</v>
      </c>
      <c r="G784" s="3" t="s">
        <v>112</v>
      </c>
      <c r="H784" s="3" t="s">
        <v>3689</v>
      </c>
      <c r="I784" s="3" t="s">
        <v>3694</v>
      </c>
      <c r="J784" s="3" t="s">
        <v>2276</v>
      </c>
      <c r="K784" s="3" t="s">
        <v>84</v>
      </c>
      <c r="L784" s="3" t="s">
        <v>114</v>
      </c>
      <c r="M784" s="3" t="s">
        <v>70</v>
      </c>
      <c r="N784" s="3" t="s">
        <v>3695</v>
      </c>
      <c r="O784" s="3">
        <v>0</v>
      </c>
      <c r="P784" s="3">
        <v>11</v>
      </c>
      <c r="Q784" s="3" t="s">
        <v>60</v>
      </c>
      <c r="R784" s="3" t="s">
        <v>61</v>
      </c>
      <c r="S784" s="3">
        <v>38</v>
      </c>
      <c r="T784" s="3">
        <v>5</v>
      </c>
      <c r="U784" s="3">
        <v>33</v>
      </c>
      <c r="V784" s="3">
        <v>16</v>
      </c>
      <c r="W784" s="3">
        <v>0</v>
      </c>
      <c r="X784" s="3" t="s">
        <v>147</v>
      </c>
      <c r="Y784" s="3">
        <v>0</v>
      </c>
      <c r="Z784" s="3">
        <v>0</v>
      </c>
      <c r="AA784" s="3">
        <v>0</v>
      </c>
      <c r="AB784" s="3">
        <v>0</v>
      </c>
      <c r="AC784" s="3">
        <v>22</v>
      </c>
      <c r="AD784" s="3">
        <v>10</v>
      </c>
      <c r="AE784" s="3">
        <v>14</v>
      </c>
      <c r="AF784" s="3" t="s">
        <v>0</v>
      </c>
      <c r="AG784" s="3" t="s">
        <v>49</v>
      </c>
    </row>
    <row r="785" spans="1:33" ht="51" x14ac:dyDescent="0.2">
      <c r="A785" s="5" t="str">
        <f>HYPERLINK("http://www.patentics.cn/invokexml.do?sf=ShowPatent&amp;spn=WO2008025040&amp;sv=945bea7bbdbc5eda7cb33a353236e76c","WO2008025040")</f>
        <v>WO2008025040</v>
      </c>
      <c r="B785" s="3" t="s">
        <v>3696</v>
      </c>
      <c r="C785" s="3" t="s">
        <v>3697</v>
      </c>
      <c r="D785" s="3" t="s">
        <v>3698</v>
      </c>
      <c r="E785" s="3" t="s">
        <v>3699</v>
      </c>
      <c r="F785" s="3" t="s">
        <v>3700</v>
      </c>
      <c r="G785" s="3" t="s">
        <v>1372</v>
      </c>
      <c r="H785" s="3" t="s">
        <v>3689</v>
      </c>
      <c r="I785" s="3" t="s">
        <v>3690</v>
      </c>
      <c r="J785" s="3" t="s">
        <v>3701</v>
      </c>
      <c r="K785" s="3" t="s">
        <v>58</v>
      </c>
      <c r="L785" s="3" t="s">
        <v>1375</v>
      </c>
      <c r="M785" s="3" t="s">
        <v>0</v>
      </c>
      <c r="N785" s="3" t="s">
        <v>0</v>
      </c>
      <c r="O785" s="3">
        <v>48</v>
      </c>
      <c r="P785" s="3">
        <v>3</v>
      </c>
      <c r="Q785" s="3" t="s">
        <v>352</v>
      </c>
      <c r="R785" s="3" t="s">
        <v>61</v>
      </c>
      <c r="S785" s="3">
        <v>8</v>
      </c>
      <c r="T785" s="3">
        <v>2</v>
      </c>
      <c r="U785" s="3">
        <v>6</v>
      </c>
      <c r="V785" s="3">
        <v>6</v>
      </c>
      <c r="W785" s="3">
        <v>6</v>
      </c>
      <c r="X785" s="3" t="s">
        <v>403</v>
      </c>
      <c r="Y785" s="3">
        <v>0</v>
      </c>
      <c r="Z785" s="3">
        <v>6</v>
      </c>
      <c r="AA785" s="3">
        <v>1</v>
      </c>
      <c r="AB785" s="3">
        <v>1</v>
      </c>
      <c r="AC785" s="3">
        <v>22</v>
      </c>
      <c r="AD785" s="3">
        <v>10</v>
      </c>
      <c r="AE785" s="3">
        <v>14</v>
      </c>
      <c r="AF785" s="3" t="s">
        <v>0</v>
      </c>
      <c r="AG785" s="3" t="s">
        <v>0</v>
      </c>
    </row>
    <row r="786" spans="1:33" ht="38.25" x14ac:dyDescent="0.2">
      <c r="A786" s="4" t="str">
        <f>HYPERLINK("http://www.patentics.cn/invokexml.do?sf=ShowPatent&amp;spn=CN102333376&amp;sv=6429882572b3ac7aa06492c2a55605de","CN102333376")</f>
        <v>CN102333376</v>
      </c>
      <c r="B786" s="2" t="s">
        <v>3702</v>
      </c>
      <c r="C786" s="2" t="s">
        <v>3703</v>
      </c>
      <c r="D786" s="2" t="s">
        <v>38</v>
      </c>
      <c r="E786" s="2" t="s">
        <v>38</v>
      </c>
      <c r="F786" s="2" t="s">
        <v>3704</v>
      </c>
      <c r="G786" s="2" t="s">
        <v>3705</v>
      </c>
      <c r="H786" s="2" t="s">
        <v>3706</v>
      </c>
      <c r="I786" s="2" t="s">
        <v>3706</v>
      </c>
      <c r="J786" s="2" t="s">
        <v>3707</v>
      </c>
      <c r="K786" s="2" t="s">
        <v>82</v>
      </c>
      <c r="L786" s="2" t="s">
        <v>244</v>
      </c>
      <c r="M786" s="2" t="s">
        <v>0</v>
      </c>
      <c r="N786" s="2" t="s">
        <v>0</v>
      </c>
      <c r="O786" s="2">
        <v>24</v>
      </c>
      <c r="P786" s="2">
        <v>9</v>
      </c>
      <c r="Q786" s="2" t="s">
        <v>46</v>
      </c>
      <c r="R786" s="2" t="s">
        <v>47</v>
      </c>
      <c r="S786" s="2">
        <v>0</v>
      </c>
      <c r="T786" s="2">
        <v>0</v>
      </c>
      <c r="U786" s="2">
        <v>0</v>
      </c>
      <c r="V786" s="2">
        <v>0</v>
      </c>
      <c r="W786" s="2">
        <v>5</v>
      </c>
      <c r="X786" s="2" t="s">
        <v>464</v>
      </c>
      <c r="Y786" s="2">
        <v>0</v>
      </c>
      <c r="Z786" s="2">
        <v>5</v>
      </c>
      <c r="AA786" s="2">
        <v>2</v>
      </c>
      <c r="AB786" s="2">
        <v>2</v>
      </c>
      <c r="AC786" s="2">
        <v>1</v>
      </c>
      <c r="AD786" s="2">
        <v>2</v>
      </c>
      <c r="AE786" s="2" t="s">
        <v>0</v>
      </c>
      <c r="AF786" s="2">
        <v>3</v>
      </c>
      <c r="AG786" s="2" t="s">
        <v>2231</v>
      </c>
    </row>
    <row r="787" spans="1:33" ht="140.25" x14ac:dyDescent="0.2">
      <c r="A787" s="5" t="str">
        <f>HYPERLINK("http://www.patentics.cn/invokexml.do?sf=ShowPatent&amp;spn=US9301196&amp;sv=807c8c0c08c6b37501c8392e80ad59c4","US9301196")</f>
        <v>US9301196</v>
      </c>
      <c r="B787" s="3" t="s">
        <v>3708</v>
      </c>
      <c r="C787" s="3" t="s">
        <v>3709</v>
      </c>
      <c r="D787" s="3" t="s">
        <v>52</v>
      </c>
      <c r="E787" s="3" t="s">
        <v>52</v>
      </c>
      <c r="F787" s="3" t="s">
        <v>3710</v>
      </c>
      <c r="G787" s="3" t="s">
        <v>3711</v>
      </c>
      <c r="H787" s="3" t="s">
        <v>627</v>
      </c>
      <c r="I787" s="3" t="s">
        <v>2411</v>
      </c>
      <c r="J787" s="3" t="s">
        <v>2465</v>
      </c>
      <c r="K787" s="3" t="s">
        <v>82</v>
      </c>
      <c r="L787" s="3" t="s">
        <v>1177</v>
      </c>
      <c r="M787" s="3" t="s">
        <v>82</v>
      </c>
      <c r="N787" s="3" t="s">
        <v>2473</v>
      </c>
      <c r="O787" s="3">
        <v>0</v>
      </c>
      <c r="P787" s="3">
        <v>11</v>
      </c>
      <c r="Q787" s="3" t="s">
        <v>60</v>
      </c>
      <c r="R787" s="3" t="s">
        <v>61</v>
      </c>
      <c r="S787" s="3">
        <v>105</v>
      </c>
      <c r="T787" s="3">
        <v>18</v>
      </c>
      <c r="U787" s="3">
        <v>87</v>
      </c>
      <c r="V787" s="3">
        <v>25</v>
      </c>
      <c r="W787" s="3">
        <v>1</v>
      </c>
      <c r="X787" s="3" t="s">
        <v>1061</v>
      </c>
      <c r="Y787" s="3">
        <v>0</v>
      </c>
      <c r="Z787" s="3">
        <v>1</v>
      </c>
      <c r="AA787" s="3">
        <v>1</v>
      </c>
      <c r="AB787" s="3">
        <v>1</v>
      </c>
      <c r="AC787" s="3">
        <v>25</v>
      </c>
      <c r="AD787" s="3">
        <v>6</v>
      </c>
      <c r="AE787" s="3">
        <v>14</v>
      </c>
      <c r="AF787" s="3" t="s">
        <v>0</v>
      </c>
      <c r="AG787" s="3" t="s">
        <v>49</v>
      </c>
    </row>
    <row r="788" spans="1:33" ht="140.25" x14ac:dyDescent="0.2">
      <c r="A788" s="5" t="str">
        <f>HYPERLINK("http://www.patentics.cn/invokexml.do?sf=ShowPatent&amp;spn=US9363707&amp;sv=a626f5b86d882141b9449758821285bf","US9363707")</f>
        <v>US9363707</v>
      </c>
      <c r="B788" s="3" t="s">
        <v>3712</v>
      </c>
      <c r="C788" s="3" t="s">
        <v>3713</v>
      </c>
      <c r="D788" s="3" t="s">
        <v>52</v>
      </c>
      <c r="E788" s="3" t="s">
        <v>52</v>
      </c>
      <c r="F788" s="3" t="s">
        <v>3714</v>
      </c>
      <c r="G788" s="3" t="s">
        <v>2392</v>
      </c>
      <c r="H788" s="3" t="s">
        <v>3196</v>
      </c>
      <c r="I788" s="3" t="s">
        <v>2394</v>
      </c>
      <c r="J788" s="3" t="s">
        <v>3715</v>
      </c>
      <c r="K788" s="3" t="s">
        <v>82</v>
      </c>
      <c r="L788" s="3" t="s">
        <v>1177</v>
      </c>
      <c r="M788" s="3" t="s">
        <v>82</v>
      </c>
      <c r="N788" s="3" t="s">
        <v>2473</v>
      </c>
      <c r="O788" s="3">
        <v>0</v>
      </c>
      <c r="P788" s="3">
        <v>15</v>
      </c>
      <c r="Q788" s="3" t="s">
        <v>60</v>
      </c>
      <c r="R788" s="3" t="s">
        <v>61</v>
      </c>
      <c r="S788" s="3">
        <v>103</v>
      </c>
      <c r="T788" s="3">
        <v>16</v>
      </c>
      <c r="U788" s="3">
        <v>87</v>
      </c>
      <c r="V788" s="3">
        <v>25</v>
      </c>
      <c r="W788" s="3">
        <v>0</v>
      </c>
      <c r="X788" s="3" t="s">
        <v>147</v>
      </c>
      <c r="Y788" s="3">
        <v>0</v>
      </c>
      <c r="Z788" s="3">
        <v>0</v>
      </c>
      <c r="AA788" s="3">
        <v>0</v>
      </c>
      <c r="AB788" s="3">
        <v>0</v>
      </c>
      <c r="AC788" s="3">
        <v>13</v>
      </c>
      <c r="AD788" s="3">
        <v>13</v>
      </c>
      <c r="AE788" s="3">
        <v>14</v>
      </c>
      <c r="AF788" s="3" t="s">
        <v>0</v>
      </c>
      <c r="AG788" s="3" t="s">
        <v>49</v>
      </c>
    </row>
    <row r="789" spans="1:33" ht="140.25" x14ac:dyDescent="0.2">
      <c r="A789" s="5" t="str">
        <f>HYPERLINK("http://www.patentics.cn/invokexml.do?sf=ShowPatent&amp;spn=US9432879&amp;sv=76f13051272e8674c3e0d3ae1d36c93f","US9432879")</f>
        <v>US9432879</v>
      </c>
      <c r="B789" s="3" t="s">
        <v>3716</v>
      </c>
      <c r="C789" s="3" t="s">
        <v>3709</v>
      </c>
      <c r="D789" s="3" t="s">
        <v>52</v>
      </c>
      <c r="E789" s="3" t="s">
        <v>52</v>
      </c>
      <c r="F789" s="3" t="s">
        <v>3710</v>
      </c>
      <c r="G789" s="3" t="s">
        <v>3711</v>
      </c>
      <c r="H789" s="3" t="s">
        <v>0</v>
      </c>
      <c r="I789" s="3" t="s">
        <v>3717</v>
      </c>
      <c r="J789" s="3" t="s">
        <v>718</v>
      </c>
      <c r="K789" s="3" t="s">
        <v>82</v>
      </c>
      <c r="L789" s="3" t="s">
        <v>1177</v>
      </c>
      <c r="M789" s="3" t="s">
        <v>82</v>
      </c>
      <c r="N789" s="3" t="s">
        <v>2473</v>
      </c>
      <c r="O789" s="3">
        <v>0</v>
      </c>
      <c r="P789" s="3">
        <v>24</v>
      </c>
      <c r="Q789" s="3" t="s">
        <v>60</v>
      </c>
      <c r="R789" s="3" t="s">
        <v>61</v>
      </c>
      <c r="S789" s="3">
        <v>105</v>
      </c>
      <c r="T789" s="3">
        <v>19</v>
      </c>
      <c r="U789" s="3">
        <v>86</v>
      </c>
      <c r="V789" s="3">
        <v>25</v>
      </c>
      <c r="W789" s="3">
        <v>0</v>
      </c>
      <c r="X789" s="3" t="s">
        <v>147</v>
      </c>
      <c r="Y789" s="3">
        <v>0</v>
      </c>
      <c r="Z789" s="3">
        <v>0</v>
      </c>
      <c r="AA789" s="3">
        <v>0</v>
      </c>
      <c r="AB789" s="3">
        <v>0</v>
      </c>
      <c r="AC789" s="3">
        <v>0</v>
      </c>
      <c r="AD789" s="3">
        <v>0</v>
      </c>
      <c r="AE789" s="3">
        <v>14</v>
      </c>
      <c r="AF789" s="3" t="s">
        <v>0</v>
      </c>
      <c r="AG789" s="3" t="s">
        <v>49</v>
      </c>
    </row>
    <row r="790" spans="1:33" ht="38.25" x14ac:dyDescent="0.2">
      <c r="A790" s="4" t="str">
        <f>HYPERLINK("http://www.patentics.cn/invokexml.do?sf=ShowPatent&amp;spn=CN101795492&amp;sv=56d319568abf28264350b810d7ab9ac4","CN101795492")</f>
        <v>CN101795492</v>
      </c>
      <c r="B790" s="2" t="s">
        <v>3718</v>
      </c>
      <c r="C790" s="2" t="s">
        <v>3719</v>
      </c>
      <c r="D790" s="2" t="s">
        <v>38</v>
      </c>
      <c r="E790" s="2" t="s">
        <v>38</v>
      </c>
      <c r="F790" s="2" t="s">
        <v>3720</v>
      </c>
      <c r="G790" s="2" t="s">
        <v>3721</v>
      </c>
      <c r="H790" s="2" t="s">
        <v>3722</v>
      </c>
      <c r="I790" s="2" t="s">
        <v>3722</v>
      </c>
      <c r="J790" s="2" t="s">
        <v>1037</v>
      </c>
      <c r="K790" s="2" t="s">
        <v>82</v>
      </c>
      <c r="L790" s="2" t="s">
        <v>244</v>
      </c>
      <c r="M790" s="2" t="s">
        <v>0</v>
      </c>
      <c r="N790" s="2" t="s">
        <v>0</v>
      </c>
      <c r="O790" s="2">
        <v>24</v>
      </c>
      <c r="P790" s="2">
        <v>26</v>
      </c>
      <c r="Q790" s="2" t="s">
        <v>46</v>
      </c>
      <c r="R790" s="2" t="s">
        <v>47</v>
      </c>
      <c r="S790" s="2">
        <v>0</v>
      </c>
      <c r="T790" s="2">
        <v>0</v>
      </c>
      <c r="U790" s="2">
        <v>0</v>
      </c>
      <c r="V790" s="2">
        <v>0</v>
      </c>
      <c r="W790" s="2">
        <v>15</v>
      </c>
      <c r="X790" s="2" t="s">
        <v>3723</v>
      </c>
      <c r="Y790" s="2">
        <v>3</v>
      </c>
      <c r="Z790" s="2">
        <v>12</v>
      </c>
      <c r="AA790" s="2">
        <v>6</v>
      </c>
      <c r="AB790" s="2">
        <v>3</v>
      </c>
      <c r="AC790" s="2">
        <v>3</v>
      </c>
      <c r="AD790" s="2">
        <v>3</v>
      </c>
      <c r="AE790" s="2" t="s">
        <v>0</v>
      </c>
      <c r="AF790" s="2">
        <v>3</v>
      </c>
      <c r="AG790" s="2" t="s">
        <v>49</v>
      </c>
    </row>
    <row r="791" spans="1:33" ht="204" x14ac:dyDescent="0.2">
      <c r="A791" s="5" t="str">
        <f>HYPERLINK("http://www.patentics.cn/invokexml.do?sf=ShowPatent&amp;spn=US9106419&amp;sv=d67199634e7778648cedcea54d62f631","US9106419")</f>
        <v>US9106419</v>
      </c>
      <c r="B791" s="3" t="s">
        <v>3178</v>
      </c>
      <c r="C791" s="3" t="s">
        <v>3179</v>
      </c>
      <c r="D791" s="3" t="s">
        <v>52</v>
      </c>
      <c r="E791" s="3" t="s">
        <v>52</v>
      </c>
      <c r="F791" s="3" t="s">
        <v>3180</v>
      </c>
      <c r="G791" s="3" t="s">
        <v>1091</v>
      </c>
      <c r="H791" s="3" t="s">
        <v>3181</v>
      </c>
      <c r="I791" s="3" t="s">
        <v>3182</v>
      </c>
      <c r="J791" s="3" t="s">
        <v>927</v>
      </c>
      <c r="K791" s="3" t="s">
        <v>82</v>
      </c>
      <c r="L791" s="3" t="s">
        <v>244</v>
      </c>
      <c r="M791" s="3" t="s">
        <v>0</v>
      </c>
      <c r="N791" s="3" t="s">
        <v>0</v>
      </c>
      <c r="O791" s="3">
        <v>0</v>
      </c>
      <c r="P791" s="3">
        <v>11</v>
      </c>
      <c r="Q791" s="3" t="s">
        <v>60</v>
      </c>
      <c r="R791" s="3" t="s">
        <v>61</v>
      </c>
      <c r="S791" s="3">
        <v>22</v>
      </c>
      <c r="T791" s="3">
        <v>2</v>
      </c>
      <c r="U791" s="3">
        <v>20</v>
      </c>
      <c r="V791" s="3">
        <v>11</v>
      </c>
      <c r="W791" s="3">
        <v>8</v>
      </c>
      <c r="X791" s="3" t="s">
        <v>147</v>
      </c>
      <c r="Y791" s="3">
        <v>0</v>
      </c>
      <c r="Z791" s="3">
        <v>8</v>
      </c>
      <c r="AA791" s="3">
        <v>0</v>
      </c>
      <c r="AB791" s="3">
        <v>1</v>
      </c>
      <c r="AC791" s="3">
        <v>22</v>
      </c>
      <c r="AD791" s="3">
        <v>7</v>
      </c>
      <c r="AE791" s="3">
        <v>14</v>
      </c>
      <c r="AF791" s="3" t="s">
        <v>0</v>
      </c>
      <c r="AG791" s="3" t="s">
        <v>49</v>
      </c>
    </row>
    <row r="792" spans="1:33" ht="204" x14ac:dyDescent="0.2">
      <c r="A792" s="5" t="str">
        <f>HYPERLINK("http://www.patentics.cn/invokexml.do?sf=ShowPatent&amp;spn=US9112692&amp;sv=1cb55b10edfcbf6886f38a751840d006","US9112692")</f>
        <v>US9112692</v>
      </c>
      <c r="B792" s="3" t="s">
        <v>3183</v>
      </c>
      <c r="C792" s="3" t="s">
        <v>3184</v>
      </c>
      <c r="D792" s="3" t="s">
        <v>52</v>
      </c>
      <c r="E792" s="3" t="s">
        <v>52</v>
      </c>
      <c r="F792" s="3" t="s">
        <v>3180</v>
      </c>
      <c r="G792" s="3" t="s">
        <v>1091</v>
      </c>
      <c r="H792" s="3" t="s">
        <v>3181</v>
      </c>
      <c r="I792" s="3" t="s">
        <v>3182</v>
      </c>
      <c r="J792" s="3" t="s">
        <v>2440</v>
      </c>
      <c r="K792" s="3" t="s">
        <v>82</v>
      </c>
      <c r="L792" s="3" t="s">
        <v>862</v>
      </c>
      <c r="M792" s="3" t="s">
        <v>0</v>
      </c>
      <c r="N792" s="3" t="s">
        <v>0</v>
      </c>
      <c r="O792" s="3">
        <v>0</v>
      </c>
      <c r="P792" s="3">
        <v>20</v>
      </c>
      <c r="Q792" s="3" t="s">
        <v>60</v>
      </c>
      <c r="R792" s="3" t="s">
        <v>61</v>
      </c>
      <c r="S792" s="3">
        <v>22</v>
      </c>
      <c r="T792" s="3">
        <v>2</v>
      </c>
      <c r="U792" s="3">
        <v>20</v>
      </c>
      <c r="V792" s="3">
        <v>11</v>
      </c>
      <c r="W792" s="3">
        <v>10</v>
      </c>
      <c r="X792" s="3" t="s">
        <v>3185</v>
      </c>
      <c r="Y792" s="3">
        <v>1</v>
      </c>
      <c r="Z792" s="3">
        <v>9</v>
      </c>
      <c r="AA792" s="3">
        <v>2</v>
      </c>
      <c r="AB792" s="3">
        <v>2</v>
      </c>
      <c r="AC792" s="3">
        <v>22</v>
      </c>
      <c r="AD792" s="3">
        <v>7</v>
      </c>
      <c r="AE792" s="3">
        <v>14</v>
      </c>
      <c r="AF792" s="3" t="s">
        <v>0</v>
      </c>
      <c r="AG792" s="3" t="s">
        <v>49</v>
      </c>
    </row>
    <row r="793" spans="1:33" ht="191.25" x14ac:dyDescent="0.2">
      <c r="A793" s="5" t="str">
        <f>HYPERLINK("http://www.patentics.cn/invokexml.do?sf=ShowPatent&amp;spn=US9591662&amp;sv=43a6bafb84c2fdce1c2915a5c96da4ba","US9591662")</f>
        <v>US9591662</v>
      </c>
      <c r="B793" s="3" t="s">
        <v>3189</v>
      </c>
      <c r="C793" s="3" t="s">
        <v>3184</v>
      </c>
      <c r="D793" s="3" t="s">
        <v>52</v>
      </c>
      <c r="E793" s="3" t="s">
        <v>52</v>
      </c>
      <c r="F793" s="3" t="s">
        <v>3190</v>
      </c>
      <c r="G793" s="3" t="s">
        <v>1091</v>
      </c>
      <c r="H793" s="3" t="s">
        <v>3181</v>
      </c>
      <c r="I793" s="3" t="s">
        <v>3191</v>
      </c>
      <c r="J793" s="3" t="s">
        <v>2406</v>
      </c>
      <c r="K793" s="3" t="s">
        <v>82</v>
      </c>
      <c r="L793" s="3" t="s">
        <v>244</v>
      </c>
      <c r="M793" s="3" t="s">
        <v>82</v>
      </c>
      <c r="N793" s="3" t="s">
        <v>764</v>
      </c>
      <c r="O793" s="3">
        <v>0</v>
      </c>
      <c r="P793" s="3">
        <v>14</v>
      </c>
      <c r="Q793" s="3" t="s">
        <v>60</v>
      </c>
      <c r="R793" s="3" t="s">
        <v>61</v>
      </c>
      <c r="S793" s="3">
        <v>27</v>
      </c>
      <c r="T793" s="3">
        <v>4</v>
      </c>
      <c r="U793" s="3">
        <v>23</v>
      </c>
      <c r="V793" s="3">
        <v>11</v>
      </c>
      <c r="W793" s="3">
        <v>0</v>
      </c>
      <c r="X793" s="3" t="s">
        <v>147</v>
      </c>
      <c r="Y793" s="3">
        <v>0</v>
      </c>
      <c r="Z793" s="3">
        <v>0</v>
      </c>
      <c r="AA793" s="3">
        <v>0</v>
      </c>
      <c r="AB793" s="3">
        <v>0</v>
      </c>
      <c r="AC793" s="3">
        <v>22</v>
      </c>
      <c r="AD793" s="3">
        <v>7</v>
      </c>
      <c r="AE793" s="3">
        <v>14</v>
      </c>
      <c r="AF793" s="3" t="s">
        <v>0</v>
      </c>
      <c r="AG793" s="3" t="s">
        <v>49</v>
      </c>
    </row>
    <row r="794" spans="1:33" ht="25.5" x14ac:dyDescent="0.2">
      <c r="A794" s="4" t="str">
        <f>HYPERLINK("http://www.patentics.cn/invokexml.do?sf=ShowPatent&amp;spn=CN101635950&amp;sv=4ecc4626c00d914d82c501d8b3916bb5","CN101635950")</f>
        <v>CN101635950</v>
      </c>
      <c r="B794" s="2" t="s">
        <v>3724</v>
      </c>
      <c r="C794" s="2" t="s">
        <v>3725</v>
      </c>
      <c r="D794" s="2" t="s">
        <v>38</v>
      </c>
      <c r="E794" s="2" t="s">
        <v>38</v>
      </c>
      <c r="F794" s="2" t="s">
        <v>3726</v>
      </c>
      <c r="G794" s="2" t="s">
        <v>2491</v>
      </c>
      <c r="H794" s="2" t="s">
        <v>3727</v>
      </c>
      <c r="I794" s="2" t="s">
        <v>3727</v>
      </c>
      <c r="J794" s="2" t="s">
        <v>3728</v>
      </c>
      <c r="K794" s="2" t="s">
        <v>82</v>
      </c>
      <c r="L794" s="2" t="s">
        <v>2215</v>
      </c>
      <c r="M794" s="2" t="s">
        <v>0</v>
      </c>
      <c r="N794" s="2" t="s">
        <v>0</v>
      </c>
      <c r="O794" s="2">
        <v>19</v>
      </c>
      <c r="P794" s="2">
        <v>8</v>
      </c>
      <c r="Q794" s="2" t="s">
        <v>46</v>
      </c>
      <c r="R794" s="2" t="s">
        <v>47</v>
      </c>
      <c r="S794" s="2">
        <v>0</v>
      </c>
      <c r="T794" s="2">
        <v>0</v>
      </c>
      <c r="U794" s="2">
        <v>0</v>
      </c>
      <c r="V794" s="2">
        <v>0</v>
      </c>
      <c r="W794" s="2">
        <v>53</v>
      </c>
      <c r="X794" s="2" t="s">
        <v>3729</v>
      </c>
      <c r="Y794" s="2">
        <v>9</v>
      </c>
      <c r="Z794" s="2">
        <v>44</v>
      </c>
      <c r="AA794" s="2">
        <v>17</v>
      </c>
      <c r="AB794" s="2">
        <v>4</v>
      </c>
      <c r="AC794" s="2">
        <v>1</v>
      </c>
      <c r="AD794" s="2">
        <v>2</v>
      </c>
      <c r="AE794" s="2" t="s">
        <v>0</v>
      </c>
      <c r="AF794" s="2">
        <v>3</v>
      </c>
      <c r="AG794" s="2" t="s">
        <v>49</v>
      </c>
    </row>
    <row r="795" spans="1:33" ht="102" x14ac:dyDescent="0.2">
      <c r="A795" s="5" t="str">
        <f>HYPERLINK("http://www.patentics.cn/invokexml.do?sf=ShowPatent&amp;spn=US8995465&amp;sv=4c8b1afe8438d81b7c94e1861bed343d","US8995465")</f>
        <v>US8995465</v>
      </c>
      <c r="B795" s="3" t="s">
        <v>3730</v>
      </c>
      <c r="C795" s="3" t="s">
        <v>3731</v>
      </c>
      <c r="D795" s="3" t="s">
        <v>52</v>
      </c>
      <c r="E795" s="3" t="s">
        <v>52</v>
      </c>
      <c r="F795" s="3" t="s">
        <v>3732</v>
      </c>
      <c r="G795" s="3" t="s">
        <v>3733</v>
      </c>
      <c r="H795" s="3" t="s">
        <v>106</v>
      </c>
      <c r="I795" s="3" t="s">
        <v>3734</v>
      </c>
      <c r="J795" s="3" t="s">
        <v>3023</v>
      </c>
      <c r="K795" s="3" t="s">
        <v>70</v>
      </c>
      <c r="L795" s="3" t="s">
        <v>2535</v>
      </c>
      <c r="M795" s="3" t="s">
        <v>58</v>
      </c>
      <c r="N795" s="3" t="s">
        <v>335</v>
      </c>
      <c r="O795" s="3">
        <v>0</v>
      </c>
      <c r="P795" s="3">
        <v>11</v>
      </c>
      <c r="Q795" s="3" t="s">
        <v>60</v>
      </c>
      <c r="R795" s="3" t="s">
        <v>61</v>
      </c>
      <c r="S795" s="3">
        <v>12</v>
      </c>
      <c r="T795" s="3">
        <v>3</v>
      </c>
      <c r="U795" s="3">
        <v>9</v>
      </c>
      <c r="V795" s="3">
        <v>6</v>
      </c>
      <c r="W795" s="3">
        <v>1</v>
      </c>
      <c r="X795" s="3" t="s">
        <v>580</v>
      </c>
      <c r="Y795" s="3">
        <v>0</v>
      </c>
      <c r="Z795" s="3">
        <v>1</v>
      </c>
      <c r="AA795" s="3">
        <v>1</v>
      </c>
      <c r="AB795" s="3">
        <v>1</v>
      </c>
      <c r="AC795" s="3">
        <v>9</v>
      </c>
      <c r="AD795" s="3">
        <v>6</v>
      </c>
      <c r="AE795" s="3">
        <v>14</v>
      </c>
      <c r="AF795" s="3" t="s">
        <v>0</v>
      </c>
      <c r="AG795" s="3" t="s">
        <v>49</v>
      </c>
    </row>
    <row r="796" spans="1:33" ht="63.75" x14ac:dyDescent="0.2">
      <c r="A796" s="5" t="str">
        <f>HYPERLINK("http://www.patentics.cn/invokexml.do?sf=ShowPatent&amp;spn=US9136997&amp;sv=724b880de781f2bc7fd0428b582c55fa","US9136997")</f>
        <v>US9136997</v>
      </c>
      <c r="B796" s="3" t="s">
        <v>3735</v>
      </c>
      <c r="C796" s="3" t="s">
        <v>3736</v>
      </c>
      <c r="D796" s="3" t="s">
        <v>52</v>
      </c>
      <c r="E796" s="3" t="s">
        <v>52</v>
      </c>
      <c r="F796" s="3" t="s">
        <v>3737</v>
      </c>
      <c r="G796" s="3" t="s">
        <v>2871</v>
      </c>
      <c r="H796" s="3" t="s">
        <v>3738</v>
      </c>
      <c r="I796" s="3" t="s">
        <v>3739</v>
      </c>
      <c r="J796" s="3" t="s">
        <v>225</v>
      </c>
      <c r="K796" s="3" t="s">
        <v>58</v>
      </c>
      <c r="L796" s="3" t="s">
        <v>763</v>
      </c>
      <c r="M796" s="3" t="s">
        <v>58</v>
      </c>
      <c r="N796" s="3" t="s">
        <v>335</v>
      </c>
      <c r="O796" s="3">
        <v>0</v>
      </c>
      <c r="P796" s="3">
        <v>16</v>
      </c>
      <c r="Q796" s="3" t="s">
        <v>60</v>
      </c>
      <c r="R796" s="3" t="s">
        <v>61</v>
      </c>
      <c r="S796" s="3">
        <v>19</v>
      </c>
      <c r="T796" s="3">
        <v>5</v>
      </c>
      <c r="U796" s="3">
        <v>14</v>
      </c>
      <c r="V796" s="3">
        <v>8</v>
      </c>
      <c r="W796" s="3">
        <v>0</v>
      </c>
      <c r="X796" s="3" t="s">
        <v>147</v>
      </c>
      <c r="Y796" s="3">
        <v>0</v>
      </c>
      <c r="Z796" s="3">
        <v>0</v>
      </c>
      <c r="AA796" s="3">
        <v>0</v>
      </c>
      <c r="AB796" s="3">
        <v>0</v>
      </c>
      <c r="AC796" s="3">
        <v>10</v>
      </c>
      <c r="AD796" s="3">
        <v>7</v>
      </c>
      <c r="AE796" s="3">
        <v>14</v>
      </c>
      <c r="AF796" s="3" t="s">
        <v>0</v>
      </c>
      <c r="AG796" s="3" t="s">
        <v>49</v>
      </c>
    </row>
    <row r="797" spans="1:33" ht="38.25" x14ac:dyDescent="0.2">
      <c r="A797" s="5" t="str">
        <f>HYPERLINK("http://www.patentics.cn/invokexml.do?sf=ShowPatent&amp;spn=CN102884751B&amp;sv=e2a7af5d496ded38a1a1f5e0b625095a","CN102884751B")</f>
        <v>CN102884751B</v>
      </c>
      <c r="B797" s="3" t="s">
        <v>3740</v>
      </c>
      <c r="C797" s="3" t="s">
        <v>3741</v>
      </c>
      <c r="D797" s="3" t="s">
        <v>338</v>
      </c>
      <c r="E797" s="3" t="s">
        <v>338</v>
      </c>
      <c r="F797" s="3" t="s">
        <v>3742</v>
      </c>
      <c r="G797" s="3" t="s">
        <v>2880</v>
      </c>
      <c r="H797" s="3" t="s">
        <v>3738</v>
      </c>
      <c r="I797" s="3" t="s">
        <v>2872</v>
      </c>
      <c r="J797" s="3" t="s">
        <v>3743</v>
      </c>
      <c r="K797" s="3" t="s">
        <v>58</v>
      </c>
      <c r="L797" s="3" t="s">
        <v>188</v>
      </c>
      <c r="M797" s="3" t="s">
        <v>0</v>
      </c>
      <c r="N797" s="3" t="s">
        <v>0</v>
      </c>
      <c r="O797" s="3">
        <v>22</v>
      </c>
      <c r="P797" s="3">
        <v>21</v>
      </c>
      <c r="Q797" s="3" t="s">
        <v>60</v>
      </c>
      <c r="R797" s="3" t="s">
        <v>61</v>
      </c>
      <c r="S797" s="3">
        <v>1</v>
      </c>
      <c r="T797" s="3">
        <v>0</v>
      </c>
      <c r="U797" s="3">
        <v>1</v>
      </c>
      <c r="V797" s="3">
        <v>1</v>
      </c>
      <c r="W797" s="3">
        <v>0</v>
      </c>
      <c r="X797" s="3" t="s">
        <v>147</v>
      </c>
      <c r="Y797" s="3">
        <v>0</v>
      </c>
      <c r="Z797" s="3">
        <v>0</v>
      </c>
      <c r="AA797" s="3">
        <v>0</v>
      </c>
      <c r="AB797" s="3">
        <v>0</v>
      </c>
      <c r="AC797" s="3">
        <v>0</v>
      </c>
      <c r="AD797" s="3">
        <v>0</v>
      </c>
      <c r="AE797" s="3">
        <v>14</v>
      </c>
      <c r="AF797" s="3" t="s">
        <v>0</v>
      </c>
      <c r="AG797" s="3" t="s">
        <v>49</v>
      </c>
    </row>
    <row r="798" spans="1:33" ht="51" x14ac:dyDescent="0.2">
      <c r="A798" s="4" t="str">
        <f>HYPERLINK("http://www.patentics.cn/invokexml.do?sf=ShowPatent&amp;spn=CN101626608&amp;sv=b9d562b04e8324b77fa68f4fc59017a0","CN101626608")</f>
        <v>CN101626608</v>
      </c>
      <c r="B798" s="2" t="s">
        <v>3744</v>
      </c>
      <c r="C798" s="2" t="s">
        <v>3745</v>
      </c>
      <c r="D798" s="2" t="s">
        <v>3746</v>
      </c>
      <c r="E798" s="2" t="s">
        <v>38</v>
      </c>
      <c r="F798" s="2" t="s">
        <v>3747</v>
      </c>
      <c r="G798" s="2" t="s">
        <v>3748</v>
      </c>
      <c r="H798" s="2" t="s">
        <v>1007</v>
      </c>
      <c r="I798" s="2" t="s">
        <v>1008</v>
      </c>
      <c r="J798" s="2" t="s">
        <v>3749</v>
      </c>
      <c r="K798" s="2" t="s">
        <v>82</v>
      </c>
      <c r="L798" s="2" t="s">
        <v>1133</v>
      </c>
      <c r="M798" s="2" t="s">
        <v>0</v>
      </c>
      <c r="N798" s="2" t="s">
        <v>0</v>
      </c>
      <c r="O798" s="2">
        <v>14</v>
      </c>
      <c r="P798" s="2">
        <v>16</v>
      </c>
      <c r="Q798" s="2" t="s">
        <v>46</v>
      </c>
      <c r="R798" s="2" t="s">
        <v>61</v>
      </c>
      <c r="S798" s="2">
        <v>0</v>
      </c>
      <c r="T798" s="2">
        <v>0</v>
      </c>
      <c r="U798" s="2">
        <v>0</v>
      </c>
      <c r="V798" s="2">
        <v>0</v>
      </c>
      <c r="W798" s="2">
        <v>3</v>
      </c>
      <c r="X798" s="2" t="s">
        <v>1061</v>
      </c>
      <c r="Y798" s="2">
        <v>0</v>
      </c>
      <c r="Z798" s="2">
        <v>3</v>
      </c>
      <c r="AA798" s="2">
        <v>1</v>
      </c>
      <c r="AB798" s="2">
        <v>1</v>
      </c>
      <c r="AC798" s="2">
        <v>3</v>
      </c>
      <c r="AD798" s="2">
        <v>2</v>
      </c>
      <c r="AE798" s="2" t="s">
        <v>0</v>
      </c>
      <c r="AF798" s="2">
        <v>3</v>
      </c>
      <c r="AG798" s="2" t="s">
        <v>49</v>
      </c>
    </row>
    <row r="799" spans="1:33" ht="153" x14ac:dyDescent="0.2">
      <c r="A799" s="5" t="str">
        <f>HYPERLINK("http://www.patentics.cn/invokexml.do?sf=ShowPatent&amp;spn=US8798628&amp;sv=f757f112a6989451ab1efde7464e6dc8","US8798628")</f>
        <v>US8798628</v>
      </c>
      <c r="B799" s="3" t="s">
        <v>1032</v>
      </c>
      <c r="C799" s="3" t="s">
        <v>1033</v>
      </c>
      <c r="D799" s="3" t="s">
        <v>52</v>
      </c>
      <c r="E799" s="3" t="s">
        <v>52</v>
      </c>
      <c r="F799" s="3" t="s">
        <v>1034</v>
      </c>
      <c r="G799" s="3" t="s">
        <v>1035</v>
      </c>
      <c r="H799" s="3" t="s">
        <v>1036</v>
      </c>
      <c r="I799" s="3" t="s">
        <v>1037</v>
      </c>
      <c r="J799" s="3" t="s">
        <v>1038</v>
      </c>
      <c r="K799" s="3" t="s">
        <v>82</v>
      </c>
      <c r="L799" s="3" t="s">
        <v>177</v>
      </c>
      <c r="M799" s="3" t="s">
        <v>0</v>
      </c>
      <c r="N799" s="3" t="s">
        <v>0</v>
      </c>
      <c r="O799" s="3">
        <v>0</v>
      </c>
      <c r="P799" s="3">
        <v>14</v>
      </c>
      <c r="Q799" s="3" t="s">
        <v>60</v>
      </c>
      <c r="R799" s="3" t="s">
        <v>61</v>
      </c>
      <c r="S799" s="3">
        <v>29</v>
      </c>
      <c r="T799" s="3">
        <v>18</v>
      </c>
      <c r="U799" s="3">
        <v>11</v>
      </c>
      <c r="V799" s="3">
        <v>8</v>
      </c>
      <c r="W799" s="3">
        <v>0</v>
      </c>
      <c r="X799" s="3" t="s">
        <v>147</v>
      </c>
      <c r="Y799" s="3">
        <v>0</v>
      </c>
      <c r="Z799" s="3">
        <v>0</v>
      </c>
      <c r="AA799" s="3">
        <v>0</v>
      </c>
      <c r="AB799" s="3">
        <v>0</v>
      </c>
      <c r="AC799" s="3">
        <v>31</v>
      </c>
      <c r="AD799" s="3">
        <v>7</v>
      </c>
      <c r="AE799" s="3">
        <v>14</v>
      </c>
      <c r="AF799" s="3" t="s">
        <v>0</v>
      </c>
      <c r="AG799" s="3" t="s">
        <v>49</v>
      </c>
    </row>
    <row r="800" spans="1:33" ht="153" x14ac:dyDescent="0.2">
      <c r="A800" s="5" t="str">
        <f>HYPERLINK("http://www.patentics.cn/invokexml.do?sf=ShowPatent&amp;spn=US8897779&amp;sv=38a7db2ae8ac63c2a30408888c8710dc","US8897779")</f>
        <v>US8897779</v>
      </c>
      <c r="B800" s="3" t="s">
        <v>1062</v>
      </c>
      <c r="C800" s="3" t="s">
        <v>1063</v>
      </c>
      <c r="D800" s="3" t="s">
        <v>52</v>
      </c>
      <c r="E800" s="3" t="s">
        <v>52</v>
      </c>
      <c r="F800" s="3" t="s">
        <v>1034</v>
      </c>
      <c r="G800" s="3" t="s">
        <v>1035</v>
      </c>
      <c r="H800" s="3" t="s">
        <v>1036</v>
      </c>
      <c r="I800" s="3" t="s">
        <v>1037</v>
      </c>
      <c r="J800" s="3" t="s">
        <v>1064</v>
      </c>
      <c r="K800" s="3" t="s">
        <v>82</v>
      </c>
      <c r="L800" s="3" t="s">
        <v>177</v>
      </c>
      <c r="M800" s="3" t="s">
        <v>82</v>
      </c>
      <c r="N800" s="3" t="s">
        <v>1065</v>
      </c>
      <c r="O800" s="3">
        <v>0</v>
      </c>
      <c r="P800" s="3">
        <v>18</v>
      </c>
      <c r="Q800" s="3" t="s">
        <v>60</v>
      </c>
      <c r="R800" s="3" t="s">
        <v>61</v>
      </c>
      <c r="S800" s="3">
        <v>31</v>
      </c>
      <c r="T800" s="3">
        <v>18</v>
      </c>
      <c r="U800" s="3">
        <v>13</v>
      </c>
      <c r="V800" s="3">
        <v>10</v>
      </c>
      <c r="W800" s="3">
        <v>0</v>
      </c>
      <c r="X800" s="3" t="s">
        <v>147</v>
      </c>
      <c r="Y800" s="3">
        <v>0</v>
      </c>
      <c r="Z800" s="3">
        <v>0</v>
      </c>
      <c r="AA800" s="3">
        <v>0</v>
      </c>
      <c r="AB800" s="3">
        <v>0</v>
      </c>
      <c r="AC800" s="3">
        <v>31</v>
      </c>
      <c r="AD800" s="3">
        <v>7</v>
      </c>
      <c r="AE800" s="3">
        <v>14</v>
      </c>
      <c r="AF800" s="3" t="s">
        <v>0</v>
      </c>
      <c r="AG800" s="3" t="s">
        <v>49</v>
      </c>
    </row>
    <row r="801" spans="1:33" ht="153" x14ac:dyDescent="0.2">
      <c r="A801" s="5" t="str">
        <f>HYPERLINK("http://www.patentics.cn/invokexml.do?sf=ShowPatent&amp;spn=US9002358&amp;sv=0c160b3a75c99ecb6e44d1cffcf0a0e1","US9002358")</f>
        <v>US9002358</v>
      </c>
      <c r="B801" s="3" t="s">
        <v>1032</v>
      </c>
      <c r="C801" s="3" t="s">
        <v>1033</v>
      </c>
      <c r="D801" s="3" t="s">
        <v>52</v>
      </c>
      <c r="E801" s="3" t="s">
        <v>52</v>
      </c>
      <c r="F801" s="3" t="s">
        <v>1034</v>
      </c>
      <c r="G801" s="3" t="s">
        <v>1035</v>
      </c>
      <c r="H801" s="3" t="s">
        <v>1036</v>
      </c>
      <c r="I801" s="3" t="s">
        <v>1037</v>
      </c>
      <c r="J801" s="3" t="s">
        <v>1071</v>
      </c>
      <c r="K801" s="3" t="s">
        <v>82</v>
      </c>
      <c r="L801" s="3" t="s">
        <v>177</v>
      </c>
      <c r="M801" s="3" t="s">
        <v>82</v>
      </c>
      <c r="N801" s="3" t="s">
        <v>1065</v>
      </c>
      <c r="O801" s="3">
        <v>0</v>
      </c>
      <c r="P801" s="3">
        <v>14</v>
      </c>
      <c r="Q801" s="3" t="s">
        <v>60</v>
      </c>
      <c r="R801" s="3" t="s">
        <v>61</v>
      </c>
      <c r="S801" s="3">
        <v>31</v>
      </c>
      <c r="T801" s="3">
        <v>18</v>
      </c>
      <c r="U801" s="3">
        <v>13</v>
      </c>
      <c r="V801" s="3">
        <v>10</v>
      </c>
      <c r="W801" s="3">
        <v>0</v>
      </c>
      <c r="X801" s="3" t="s">
        <v>147</v>
      </c>
      <c r="Y801" s="3">
        <v>0</v>
      </c>
      <c r="Z801" s="3">
        <v>0</v>
      </c>
      <c r="AA801" s="3">
        <v>0</v>
      </c>
      <c r="AB801" s="3">
        <v>0</v>
      </c>
      <c r="AC801" s="3">
        <v>31</v>
      </c>
      <c r="AD801" s="3">
        <v>7</v>
      </c>
      <c r="AE801" s="3">
        <v>14</v>
      </c>
      <c r="AF801" s="3" t="s">
        <v>0</v>
      </c>
      <c r="AG801" s="3" t="s">
        <v>49</v>
      </c>
    </row>
    <row r="802" spans="1:33" ht="38.25" x14ac:dyDescent="0.2">
      <c r="A802" s="4" t="str">
        <f>HYPERLINK("http://www.patentics.cn/invokexml.do?sf=ShowPatent&amp;spn=CN101615912&amp;sv=3ea6e96b6c7a76c68ff60c55f610ce7f","CN101615912")</f>
        <v>CN101615912</v>
      </c>
      <c r="B802" s="2" t="s">
        <v>3750</v>
      </c>
      <c r="C802" s="2" t="s">
        <v>3751</v>
      </c>
      <c r="D802" s="2" t="s">
        <v>38</v>
      </c>
      <c r="E802" s="2" t="s">
        <v>38</v>
      </c>
      <c r="F802" s="2" t="s">
        <v>3752</v>
      </c>
      <c r="G802" s="2" t="s">
        <v>3753</v>
      </c>
      <c r="H802" s="2" t="s">
        <v>3754</v>
      </c>
      <c r="I802" s="2" t="s">
        <v>3754</v>
      </c>
      <c r="J802" s="2" t="s">
        <v>3392</v>
      </c>
      <c r="K802" s="2" t="s">
        <v>95</v>
      </c>
      <c r="L802" s="2" t="s">
        <v>3755</v>
      </c>
      <c r="M802" s="2" t="s">
        <v>0</v>
      </c>
      <c r="N802" s="2" t="s">
        <v>0</v>
      </c>
      <c r="O802" s="2">
        <v>10</v>
      </c>
      <c r="P802" s="2">
        <v>13</v>
      </c>
      <c r="Q802" s="2" t="s">
        <v>46</v>
      </c>
      <c r="R802" s="2" t="s">
        <v>47</v>
      </c>
      <c r="S802" s="2">
        <v>0</v>
      </c>
      <c r="T802" s="2">
        <v>0</v>
      </c>
      <c r="U802" s="2">
        <v>0</v>
      </c>
      <c r="V802" s="2">
        <v>0</v>
      </c>
      <c r="W802" s="2">
        <v>4</v>
      </c>
      <c r="X802" s="2" t="s">
        <v>3756</v>
      </c>
      <c r="Y802" s="2">
        <v>0</v>
      </c>
      <c r="Z802" s="2">
        <v>4</v>
      </c>
      <c r="AA802" s="2">
        <v>2</v>
      </c>
      <c r="AB802" s="2">
        <v>3</v>
      </c>
      <c r="AC802" s="2">
        <v>2</v>
      </c>
      <c r="AD802" s="2">
        <v>2</v>
      </c>
      <c r="AE802" s="2" t="s">
        <v>0</v>
      </c>
      <c r="AF802" s="2">
        <v>3</v>
      </c>
      <c r="AG802" s="2" t="s">
        <v>49</v>
      </c>
    </row>
    <row r="803" spans="1:33" ht="25.5" x14ac:dyDescent="0.2">
      <c r="A803" s="5" t="str">
        <f>HYPERLINK("http://www.patentics.cn/invokexml.do?sf=ShowPatent&amp;spn=US9425824&amp;sv=190fa3d3909f545156b95b17c6b44678","US9425824")</f>
        <v>US9425824</v>
      </c>
      <c r="B803" s="3" t="s">
        <v>3757</v>
      </c>
      <c r="C803" s="3" t="s">
        <v>3758</v>
      </c>
      <c r="D803" s="3" t="s">
        <v>52</v>
      </c>
      <c r="E803" s="3" t="s">
        <v>52</v>
      </c>
      <c r="F803" s="3" t="s">
        <v>3759</v>
      </c>
      <c r="G803" s="3" t="s">
        <v>3759</v>
      </c>
      <c r="H803" s="3" t="s">
        <v>3760</v>
      </c>
      <c r="I803" s="3" t="s">
        <v>3760</v>
      </c>
      <c r="J803" s="3" t="s">
        <v>325</v>
      </c>
      <c r="K803" s="3" t="s">
        <v>95</v>
      </c>
      <c r="L803" s="3" t="s">
        <v>3755</v>
      </c>
      <c r="M803" s="3" t="s">
        <v>95</v>
      </c>
      <c r="N803" s="3" t="s">
        <v>3761</v>
      </c>
      <c r="O803" s="3">
        <v>0</v>
      </c>
      <c r="P803" s="3">
        <v>10</v>
      </c>
      <c r="Q803" s="3" t="s">
        <v>60</v>
      </c>
      <c r="R803" s="3" t="s">
        <v>47</v>
      </c>
      <c r="S803" s="3">
        <v>23</v>
      </c>
      <c r="T803" s="3">
        <v>0</v>
      </c>
      <c r="U803" s="3">
        <v>23</v>
      </c>
      <c r="V803" s="3">
        <v>16</v>
      </c>
      <c r="W803" s="3">
        <v>0</v>
      </c>
      <c r="X803" s="3" t="s">
        <v>147</v>
      </c>
      <c r="Y803" s="3">
        <v>0</v>
      </c>
      <c r="Z803" s="3">
        <v>0</v>
      </c>
      <c r="AA803" s="3">
        <v>0</v>
      </c>
      <c r="AB803" s="3">
        <v>0</v>
      </c>
      <c r="AC803" s="3">
        <v>8</v>
      </c>
      <c r="AD803" s="3">
        <v>7</v>
      </c>
      <c r="AE803" s="3">
        <v>14</v>
      </c>
      <c r="AF803" s="3" t="s">
        <v>0</v>
      </c>
      <c r="AG803" s="3" t="s">
        <v>49</v>
      </c>
    </row>
    <row r="804" spans="1:33" ht="25.5" x14ac:dyDescent="0.2">
      <c r="A804" s="5" t="str">
        <f>HYPERLINK("http://www.patentics.cn/invokexml.do?sf=ShowPatent&amp;spn=US9425913&amp;sv=232b90bff759bb6d82a72795dabe042f","US9425913")</f>
        <v>US9425913</v>
      </c>
      <c r="B804" s="3" t="s">
        <v>3762</v>
      </c>
      <c r="C804" s="3" t="s">
        <v>3763</v>
      </c>
      <c r="D804" s="3" t="s">
        <v>52</v>
      </c>
      <c r="E804" s="3" t="s">
        <v>52</v>
      </c>
      <c r="F804" s="3" t="s">
        <v>3759</v>
      </c>
      <c r="G804" s="3" t="s">
        <v>3759</v>
      </c>
      <c r="H804" s="3" t="s">
        <v>3760</v>
      </c>
      <c r="I804" s="3" t="s">
        <v>3760</v>
      </c>
      <c r="J804" s="3" t="s">
        <v>325</v>
      </c>
      <c r="K804" s="3" t="s">
        <v>70</v>
      </c>
      <c r="L804" s="3" t="s">
        <v>3764</v>
      </c>
      <c r="M804" s="3" t="s">
        <v>70</v>
      </c>
      <c r="N804" s="3" t="s">
        <v>3765</v>
      </c>
      <c r="O804" s="3">
        <v>0</v>
      </c>
      <c r="P804" s="3">
        <v>19</v>
      </c>
      <c r="Q804" s="3" t="s">
        <v>60</v>
      </c>
      <c r="R804" s="3" t="s">
        <v>47</v>
      </c>
      <c r="S804" s="3">
        <v>25</v>
      </c>
      <c r="T804" s="3">
        <v>0</v>
      </c>
      <c r="U804" s="3">
        <v>25</v>
      </c>
      <c r="V804" s="3">
        <v>18</v>
      </c>
      <c r="W804" s="3">
        <v>0</v>
      </c>
      <c r="X804" s="3" t="s">
        <v>147</v>
      </c>
      <c r="Y804" s="3">
        <v>0</v>
      </c>
      <c r="Z804" s="3">
        <v>0</v>
      </c>
      <c r="AA804" s="3">
        <v>0</v>
      </c>
      <c r="AB804" s="3">
        <v>0</v>
      </c>
      <c r="AC804" s="3">
        <v>6</v>
      </c>
      <c r="AD804" s="3">
        <v>6</v>
      </c>
      <c r="AE804" s="3">
        <v>14</v>
      </c>
      <c r="AF804" s="3" t="s">
        <v>0</v>
      </c>
      <c r="AG804" s="3" t="s">
        <v>49</v>
      </c>
    </row>
    <row r="805" spans="1:33" ht="25.5" x14ac:dyDescent="0.2">
      <c r="A805" s="5" t="str">
        <f>HYPERLINK("http://www.patentics.cn/invokexml.do?sf=ShowPatent&amp;spn=WO2013139033&amp;sv=5e27fecf915a8b16ab0db572445f5bf0","WO2013139033")</f>
        <v>WO2013139033</v>
      </c>
      <c r="B805" s="3" t="s">
        <v>3766</v>
      </c>
      <c r="C805" s="3" t="s">
        <v>3758</v>
      </c>
      <c r="D805" s="3" t="s">
        <v>3767</v>
      </c>
      <c r="E805" s="3" t="s">
        <v>3768</v>
      </c>
      <c r="F805" s="3" t="s">
        <v>3769</v>
      </c>
      <c r="G805" s="3" t="s">
        <v>3769</v>
      </c>
      <c r="H805" s="3" t="s">
        <v>3760</v>
      </c>
      <c r="I805" s="3" t="s">
        <v>3760</v>
      </c>
      <c r="J805" s="3" t="s">
        <v>3603</v>
      </c>
      <c r="K805" s="3" t="s">
        <v>95</v>
      </c>
      <c r="L805" s="3" t="s">
        <v>3755</v>
      </c>
      <c r="M805" s="3" t="s">
        <v>0</v>
      </c>
      <c r="N805" s="3" t="s">
        <v>0</v>
      </c>
      <c r="O805" s="3">
        <v>20</v>
      </c>
      <c r="P805" s="3">
        <v>8</v>
      </c>
      <c r="Q805" s="3" t="s">
        <v>352</v>
      </c>
      <c r="R805" s="3" t="s">
        <v>47</v>
      </c>
      <c r="S805" s="3">
        <v>4</v>
      </c>
      <c r="T805" s="3">
        <v>0</v>
      </c>
      <c r="U805" s="3">
        <v>4</v>
      </c>
      <c r="V805" s="3">
        <v>4</v>
      </c>
      <c r="W805" s="3">
        <v>0</v>
      </c>
      <c r="X805" s="3" t="s">
        <v>147</v>
      </c>
      <c r="Y805" s="3">
        <v>0</v>
      </c>
      <c r="Z805" s="3">
        <v>0</v>
      </c>
      <c r="AA805" s="3">
        <v>0</v>
      </c>
      <c r="AB805" s="3">
        <v>0</v>
      </c>
      <c r="AC805" s="3">
        <v>8</v>
      </c>
      <c r="AD805" s="3">
        <v>7</v>
      </c>
      <c r="AE805" s="3">
        <v>14</v>
      </c>
      <c r="AF805" s="3" t="s">
        <v>0</v>
      </c>
      <c r="AG805" s="3" t="s">
        <v>0</v>
      </c>
    </row>
    <row r="806" spans="1:33" ht="38.25" x14ac:dyDescent="0.2">
      <c r="A806" s="4" t="str">
        <f>HYPERLINK("http://www.patentics.cn/invokexml.do?sf=ShowPatent&amp;spn=CN101594209&amp;sv=47b3209235cb735f791d29350bb8ab32","CN101594209")</f>
        <v>CN101594209</v>
      </c>
      <c r="B806" s="2" t="s">
        <v>3770</v>
      </c>
      <c r="C806" s="2" t="s">
        <v>3771</v>
      </c>
      <c r="D806" s="2" t="s">
        <v>38</v>
      </c>
      <c r="E806" s="2" t="s">
        <v>38</v>
      </c>
      <c r="F806" s="2" t="s">
        <v>3772</v>
      </c>
      <c r="G806" s="2" t="s">
        <v>3721</v>
      </c>
      <c r="H806" s="2" t="s">
        <v>3773</v>
      </c>
      <c r="I806" s="2" t="s">
        <v>3773</v>
      </c>
      <c r="J806" s="2" t="s">
        <v>3774</v>
      </c>
      <c r="K806" s="2" t="s">
        <v>58</v>
      </c>
      <c r="L806" s="2" t="s">
        <v>2734</v>
      </c>
      <c r="M806" s="2" t="s">
        <v>0</v>
      </c>
      <c r="N806" s="2" t="s">
        <v>0</v>
      </c>
      <c r="O806" s="2">
        <v>13</v>
      </c>
      <c r="P806" s="2">
        <v>15</v>
      </c>
      <c r="Q806" s="2" t="s">
        <v>46</v>
      </c>
      <c r="R806" s="2" t="s">
        <v>47</v>
      </c>
      <c r="S806" s="2">
        <v>0</v>
      </c>
      <c r="T806" s="2">
        <v>0</v>
      </c>
      <c r="U806" s="2">
        <v>0</v>
      </c>
      <c r="V806" s="2">
        <v>0</v>
      </c>
      <c r="W806" s="2">
        <v>13</v>
      </c>
      <c r="X806" s="2" t="s">
        <v>3775</v>
      </c>
      <c r="Y806" s="2">
        <v>8</v>
      </c>
      <c r="Z806" s="2">
        <v>5</v>
      </c>
      <c r="AA806" s="2">
        <v>4</v>
      </c>
      <c r="AB806" s="2">
        <v>3</v>
      </c>
      <c r="AC806" s="2">
        <v>1</v>
      </c>
      <c r="AD806" s="2">
        <v>2</v>
      </c>
      <c r="AE806" s="2" t="s">
        <v>0</v>
      </c>
      <c r="AF806" s="2">
        <v>3</v>
      </c>
      <c r="AG806" s="2" t="s">
        <v>2523</v>
      </c>
    </row>
    <row r="807" spans="1:33" ht="204" x14ac:dyDescent="0.2">
      <c r="A807" s="5" t="str">
        <f>HYPERLINK("http://www.patentics.cn/invokexml.do?sf=ShowPatent&amp;spn=US9106419&amp;sv=d67199634e7778648cedcea54d62f631","US9106419")</f>
        <v>US9106419</v>
      </c>
      <c r="B807" s="3" t="s">
        <v>3178</v>
      </c>
      <c r="C807" s="3" t="s">
        <v>3179</v>
      </c>
      <c r="D807" s="3" t="s">
        <v>52</v>
      </c>
      <c r="E807" s="3" t="s">
        <v>52</v>
      </c>
      <c r="F807" s="3" t="s">
        <v>3180</v>
      </c>
      <c r="G807" s="3" t="s">
        <v>1091</v>
      </c>
      <c r="H807" s="3" t="s">
        <v>3181</v>
      </c>
      <c r="I807" s="3" t="s">
        <v>3182</v>
      </c>
      <c r="J807" s="3" t="s">
        <v>927</v>
      </c>
      <c r="K807" s="3" t="s">
        <v>82</v>
      </c>
      <c r="L807" s="3" t="s">
        <v>244</v>
      </c>
      <c r="M807" s="3" t="s">
        <v>0</v>
      </c>
      <c r="N807" s="3" t="s">
        <v>0</v>
      </c>
      <c r="O807" s="3">
        <v>0</v>
      </c>
      <c r="P807" s="3">
        <v>11</v>
      </c>
      <c r="Q807" s="3" t="s">
        <v>60</v>
      </c>
      <c r="R807" s="3" t="s">
        <v>61</v>
      </c>
      <c r="S807" s="3">
        <v>22</v>
      </c>
      <c r="T807" s="3">
        <v>2</v>
      </c>
      <c r="U807" s="3">
        <v>20</v>
      </c>
      <c r="V807" s="3">
        <v>11</v>
      </c>
      <c r="W807" s="3">
        <v>8</v>
      </c>
      <c r="X807" s="3" t="s">
        <v>147</v>
      </c>
      <c r="Y807" s="3">
        <v>0</v>
      </c>
      <c r="Z807" s="3">
        <v>8</v>
      </c>
      <c r="AA807" s="3">
        <v>0</v>
      </c>
      <c r="AB807" s="3">
        <v>1</v>
      </c>
      <c r="AC807" s="3">
        <v>22</v>
      </c>
      <c r="AD807" s="3">
        <v>7</v>
      </c>
      <c r="AE807" s="3">
        <v>14</v>
      </c>
      <c r="AF807" s="3" t="s">
        <v>0</v>
      </c>
      <c r="AG807" s="3" t="s">
        <v>49</v>
      </c>
    </row>
    <row r="808" spans="1:33" ht="204" x14ac:dyDescent="0.2">
      <c r="A808" s="5" t="str">
        <f>HYPERLINK("http://www.patentics.cn/invokexml.do?sf=ShowPatent&amp;spn=US9112692&amp;sv=1cb55b10edfcbf6886f38a751840d006","US9112692")</f>
        <v>US9112692</v>
      </c>
      <c r="B808" s="3" t="s">
        <v>3183</v>
      </c>
      <c r="C808" s="3" t="s">
        <v>3184</v>
      </c>
      <c r="D808" s="3" t="s">
        <v>52</v>
      </c>
      <c r="E808" s="3" t="s">
        <v>52</v>
      </c>
      <c r="F808" s="3" t="s">
        <v>3180</v>
      </c>
      <c r="G808" s="3" t="s">
        <v>1091</v>
      </c>
      <c r="H808" s="3" t="s">
        <v>3181</v>
      </c>
      <c r="I808" s="3" t="s">
        <v>3182</v>
      </c>
      <c r="J808" s="3" t="s">
        <v>2440</v>
      </c>
      <c r="K808" s="3" t="s">
        <v>82</v>
      </c>
      <c r="L808" s="3" t="s">
        <v>862</v>
      </c>
      <c r="M808" s="3" t="s">
        <v>0</v>
      </c>
      <c r="N808" s="3" t="s">
        <v>0</v>
      </c>
      <c r="O808" s="3">
        <v>0</v>
      </c>
      <c r="P808" s="3">
        <v>20</v>
      </c>
      <c r="Q808" s="3" t="s">
        <v>60</v>
      </c>
      <c r="R808" s="3" t="s">
        <v>61</v>
      </c>
      <c r="S808" s="3">
        <v>22</v>
      </c>
      <c r="T808" s="3">
        <v>2</v>
      </c>
      <c r="U808" s="3">
        <v>20</v>
      </c>
      <c r="V808" s="3">
        <v>11</v>
      </c>
      <c r="W808" s="3">
        <v>10</v>
      </c>
      <c r="X808" s="3" t="s">
        <v>3185</v>
      </c>
      <c r="Y808" s="3">
        <v>1</v>
      </c>
      <c r="Z808" s="3">
        <v>9</v>
      </c>
      <c r="AA808" s="3">
        <v>2</v>
      </c>
      <c r="AB808" s="3">
        <v>2</v>
      </c>
      <c r="AC808" s="3">
        <v>22</v>
      </c>
      <c r="AD808" s="3">
        <v>7</v>
      </c>
      <c r="AE808" s="3">
        <v>14</v>
      </c>
      <c r="AF808" s="3" t="s">
        <v>0</v>
      </c>
      <c r="AG808" s="3" t="s">
        <v>49</v>
      </c>
    </row>
    <row r="809" spans="1:33" ht="191.25" x14ac:dyDescent="0.2">
      <c r="A809" s="5" t="str">
        <f>HYPERLINK("http://www.patentics.cn/invokexml.do?sf=ShowPatent&amp;spn=US9591662&amp;sv=43a6bafb84c2fdce1c2915a5c96da4ba","US9591662")</f>
        <v>US9591662</v>
      </c>
      <c r="B809" s="3" t="s">
        <v>3189</v>
      </c>
      <c r="C809" s="3" t="s">
        <v>3184</v>
      </c>
      <c r="D809" s="3" t="s">
        <v>52</v>
      </c>
      <c r="E809" s="3" t="s">
        <v>52</v>
      </c>
      <c r="F809" s="3" t="s">
        <v>3190</v>
      </c>
      <c r="G809" s="3" t="s">
        <v>1091</v>
      </c>
      <c r="H809" s="3" t="s">
        <v>3181</v>
      </c>
      <c r="I809" s="3" t="s">
        <v>3191</v>
      </c>
      <c r="J809" s="3" t="s">
        <v>2406</v>
      </c>
      <c r="K809" s="3" t="s">
        <v>82</v>
      </c>
      <c r="L809" s="3" t="s">
        <v>244</v>
      </c>
      <c r="M809" s="3" t="s">
        <v>82</v>
      </c>
      <c r="N809" s="3" t="s">
        <v>764</v>
      </c>
      <c r="O809" s="3">
        <v>0</v>
      </c>
      <c r="P809" s="3">
        <v>14</v>
      </c>
      <c r="Q809" s="3" t="s">
        <v>60</v>
      </c>
      <c r="R809" s="3" t="s">
        <v>61</v>
      </c>
      <c r="S809" s="3">
        <v>27</v>
      </c>
      <c r="T809" s="3">
        <v>4</v>
      </c>
      <c r="U809" s="3">
        <v>23</v>
      </c>
      <c r="V809" s="3">
        <v>11</v>
      </c>
      <c r="W809" s="3">
        <v>0</v>
      </c>
      <c r="X809" s="3" t="s">
        <v>147</v>
      </c>
      <c r="Y809" s="3">
        <v>0</v>
      </c>
      <c r="Z809" s="3">
        <v>0</v>
      </c>
      <c r="AA809" s="3">
        <v>0</v>
      </c>
      <c r="AB809" s="3">
        <v>0</v>
      </c>
      <c r="AC809" s="3">
        <v>22</v>
      </c>
      <c r="AD809" s="3">
        <v>7</v>
      </c>
      <c r="AE809" s="3">
        <v>14</v>
      </c>
      <c r="AF809" s="3" t="s">
        <v>0</v>
      </c>
      <c r="AG809" s="3" t="s">
        <v>49</v>
      </c>
    </row>
    <row r="810" spans="1:33" ht="38.25" x14ac:dyDescent="0.2">
      <c r="A810" s="4" t="str">
        <f>HYPERLINK("http://www.patentics.cn/invokexml.do?sf=ShowPatent&amp;spn=CN101465720&amp;sv=4d9d3183dfbcfec7b90da25e9f9caa0b","CN101465720")</f>
        <v>CN101465720</v>
      </c>
      <c r="B810" s="2" t="s">
        <v>3776</v>
      </c>
      <c r="C810" s="2" t="s">
        <v>3777</v>
      </c>
      <c r="D810" s="2" t="s">
        <v>38</v>
      </c>
      <c r="E810" s="2" t="s">
        <v>38</v>
      </c>
      <c r="F810" s="2" t="s">
        <v>3778</v>
      </c>
      <c r="G810" s="2" t="s">
        <v>1175</v>
      </c>
      <c r="H810" s="2" t="s">
        <v>3779</v>
      </c>
      <c r="I810" s="2" t="s">
        <v>3779</v>
      </c>
      <c r="J810" s="2" t="s">
        <v>488</v>
      </c>
      <c r="K810" s="2" t="s">
        <v>58</v>
      </c>
      <c r="L810" s="2" t="s">
        <v>1980</v>
      </c>
      <c r="M810" s="2" t="s">
        <v>0</v>
      </c>
      <c r="N810" s="2" t="s">
        <v>0</v>
      </c>
      <c r="O810" s="2">
        <v>10</v>
      </c>
      <c r="P810" s="2">
        <v>14</v>
      </c>
      <c r="Q810" s="2" t="s">
        <v>46</v>
      </c>
      <c r="R810" s="2" t="s">
        <v>47</v>
      </c>
      <c r="S810" s="2">
        <v>0</v>
      </c>
      <c r="T810" s="2">
        <v>0</v>
      </c>
      <c r="U810" s="2">
        <v>0</v>
      </c>
      <c r="V810" s="2">
        <v>0</v>
      </c>
      <c r="W810" s="2">
        <v>63</v>
      </c>
      <c r="X810" s="2" t="s">
        <v>3780</v>
      </c>
      <c r="Y810" s="2">
        <v>13</v>
      </c>
      <c r="Z810" s="2">
        <v>50</v>
      </c>
      <c r="AA810" s="2">
        <v>11</v>
      </c>
      <c r="AB810" s="2">
        <v>7</v>
      </c>
      <c r="AC810" s="2">
        <v>1</v>
      </c>
      <c r="AD810" s="2">
        <v>1</v>
      </c>
      <c r="AE810" s="2" t="s">
        <v>0</v>
      </c>
      <c r="AF810" s="2">
        <v>3</v>
      </c>
      <c r="AG810" s="2" t="s">
        <v>49</v>
      </c>
    </row>
    <row r="811" spans="1:33" ht="127.5" x14ac:dyDescent="0.2">
      <c r="A811" s="5" t="str">
        <f>HYPERLINK("http://www.patentics.cn/invokexml.do?sf=ShowPatent&amp;spn=US9124406&amp;sv=979d9df77ceec0e03b6d98130cb79359","US9124406")</f>
        <v>US9124406</v>
      </c>
      <c r="B811" s="3" t="s">
        <v>3781</v>
      </c>
      <c r="C811" s="3" t="s">
        <v>3782</v>
      </c>
      <c r="D811" s="3" t="s">
        <v>52</v>
      </c>
      <c r="E811" s="3" t="s">
        <v>52</v>
      </c>
      <c r="F811" s="3" t="s">
        <v>3783</v>
      </c>
      <c r="G811" s="3" t="s">
        <v>1091</v>
      </c>
      <c r="H811" s="3" t="s">
        <v>501</v>
      </c>
      <c r="I811" s="3" t="s">
        <v>3784</v>
      </c>
      <c r="J811" s="3" t="s">
        <v>816</v>
      </c>
      <c r="K811" s="3" t="s">
        <v>82</v>
      </c>
      <c r="L811" s="3" t="s">
        <v>83</v>
      </c>
      <c r="M811" s="3" t="s">
        <v>0</v>
      </c>
      <c r="N811" s="3" t="s">
        <v>0</v>
      </c>
      <c r="O811" s="3">
        <v>0</v>
      </c>
      <c r="P811" s="3">
        <v>13</v>
      </c>
      <c r="Q811" s="3" t="s">
        <v>60</v>
      </c>
      <c r="R811" s="3" t="s">
        <v>61</v>
      </c>
      <c r="S811" s="3">
        <v>49</v>
      </c>
      <c r="T811" s="3">
        <v>4</v>
      </c>
      <c r="U811" s="3">
        <v>45</v>
      </c>
      <c r="V811" s="3">
        <v>15</v>
      </c>
      <c r="W811" s="3">
        <v>6</v>
      </c>
      <c r="X811" s="3" t="s">
        <v>147</v>
      </c>
      <c r="Y811" s="3">
        <v>0</v>
      </c>
      <c r="Z811" s="3">
        <v>6</v>
      </c>
      <c r="AA811" s="3">
        <v>0</v>
      </c>
      <c r="AB811" s="3">
        <v>1</v>
      </c>
      <c r="AC811" s="3">
        <v>15</v>
      </c>
      <c r="AD811" s="3">
        <v>9</v>
      </c>
      <c r="AE811" s="3">
        <v>14</v>
      </c>
      <c r="AF811" s="3" t="s">
        <v>0</v>
      </c>
      <c r="AG811" s="3" t="s">
        <v>49</v>
      </c>
    </row>
    <row r="812" spans="1:33" ht="153" x14ac:dyDescent="0.2">
      <c r="A812" s="5" t="str">
        <f>HYPERLINK("http://www.patentics.cn/invokexml.do?sf=ShowPatent&amp;spn=US9351293&amp;sv=c6ec3d17a42b7be0a9ba762a65d22a59","US9351293")</f>
        <v>US9351293</v>
      </c>
      <c r="B812" s="3" t="s">
        <v>1179</v>
      </c>
      <c r="C812" s="3" t="s">
        <v>1180</v>
      </c>
      <c r="D812" s="3" t="s">
        <v>52</v>
      </c>
      <c r="E812" s="3" t="s">
        <v>52</v>
      </c>
      <c r="F812" s="3" t="s">
        <v>1181</v>
      </c>
      <c r="G812" s="3" t="s">
        <v>1091</v>
      </c>
      <c r="H812" s="3" t="s">
        <v>1182</v>
      </c>
      <c r="I812" s="3" t="s">
        <v>1183</v>
      </c>
      <c r="J812" s="3" t="s">
        <v>1184</v>
      </c>
      <c r="K812" s="3" t="s">
        <v>82</v>
      </c>
      <c r="L812" s="3" t="s">
        <v>244</v>
      </c>
      <c r="M812" s="3" t="s">
        <v>82</v>
      </c>
      <c r="N812" s="3" t="s">
        <v>1185</v>
      </c>
      <c r="O812" s="3">
        <v>0</v>
      </c>
      <c r="P812" s="3">
        <v>18</v>
      </c>
      <c r="Q812" s="3" t="s">
        <v>60</v>
      </c>
      <c r="R812" s="3" t="s">
        <v>61</v>
      </c>
      <c r="S812" s="3">
        <v>73</v>
      </c>
      <c r="T812" s="3">
        <v>8</v>
      </c>
      <c r="U812" s="3">
        <v>65</v>
      </c>
      <c r="V812" s="3">
        <v>18</v>
      </c>
      <c r="W812" s="3">
        <v>15</v>
      </c>
      <c r="X812" s="3" t="s">
        <v>1186</v>
      </c>
      <c r="Y812" s="3">
        <v>0</v>
      </c>
      <c r="Z812" s="3">
        <v>15</v>
      </c>
      <c r="AA812" s="3">
        <v>1</v>
      </c>
      <c r="AB812" s="3">
        <v>2</v>
      </c>
      <c r="AC812" s="3">
        <v>20</v>
      </c>
      <c r="AD812" s="3">
        <v>12</v>
      </c>
      <c r="AE812" s="3">
        <v>14</v>
      </c>
      <c r="AF812" s="3" t="s">
        <v>0</v>
      </c>
      <c r="AG812" s="3" t="s">
        <v>49</v>
      </c>
    </row>
    <row r="813" spans="1:33" ht="76.5" x14ac:dyDescent="0.2">
      <c r="A813" s="5" t="str">
        <f>HYPERLINK("http://www.patentics.cn/invokexml.do?sf=ShowPatent&amp;spn=CN102577559B&amp;sv=decbc4298a3460eb81b71df6a4e7ed66","CN102577559B")</f>
        <v>CN102577559B</v>
      </c>
      <c r="B813" s="3" t="s">
        <v>3785</v>
      </c>
      <c r="C813" s="3" t="s">
        <v>3786</v>
      </c>
      <c r="D813" s="3" t="s">
        <v>338</v>
      </c>
      <c r="E813" s="3" t="s">
        <v>338</v>
      </c>
      <c r="F813" s="3" t="s">
        <v>3787</v>
      </c>
      <c r="G813" s="3" t="s">
        <v>1190</v>
      </c>
      <c r="H813" s="3" t="s">
        <v>1182</v>
      </c>
      <c r="I813" s="3" t="s">
        <v>964</v>
      </c>
      <c r="J813" s="3" t="s">
        <v>3788</v>
      </c>
      <c r="K813" s="3" t="s">
        <v>82</v>
      </c>
      <c r="L813" s="3" t="s">
        <v>244</v>
      </c>
      <c r="M813" s="3" t="s">
        <v>0</v>
      </c>
      <c r="N813" s="3" t="s">
        <v>0</v>
      </c>
      <c r="O813" s="3">
        <v>78</v>
      </c>
      <c r="P813" s="3">
        <v>20</v>
      </c>
      <c r="Q813" s="3" t="s">
        <v>60</v>
      </c>
      <c r="R813" s="3" t="s">
        <v>61</v>
      </c>
      <c r="S813" s="3">
        <v>1</v>
      </c>
      <c r="T813" s="3">
        <v>0</v>
      </c>
      <c r="U813" s="3">
        <v>1</v>
      </c>
      <c r="V813" s="3">
        <v>1</v>
      </c>
      <c r="W813" s="3">
        <v>14</v>
      </c>
      <c r="X813" s="3" t="s">
        <v>147</v>
      </c>
      <c r="Y813" s="3">
        <v>0</v>
      </c>
      <c r="Z813" s="3">
        <v>14</v>
      </c>
      <c r="AA813" s="3">
        <v>0</v>
      </c>
      <c r="AB813" s="3">
        <v>1</v>
      </c>
      <c r="AC813" s="3">
        <v>20</v>
      </c>
      <c r="AD813" s="3">
        <v>12</v>
      </c>
      <c r="AE813" s="3">
        <v>14</v>
      </c>
      <c r="AF813" s="3" t="s">
        <v>0</v>
      </c>
      <c r="AG813" s="3" t="s">
        <v>49</v>
      </c>
    </row>
    <row r="814" spans="1:33" ht="51" x14ac:dyDescent="0.2">
      <c r="A814" s="4" t="str">
        <f>HYPERLINK("http://www.patentics.cn/invokexml.do?sf=ShowPatent&amp;spn=CN101409894&amp;sv=0a9d8b2948c08d1db7effb81941ca2d1","CN101409894")</f>
        <v>CN101409894</v>
      </c>
      <c r="B814" s="2" t="s">
        <v>3789</v>
      </c>
      <c r="C814" s="2" t="s">
        <v>3790</v>
      </c>
      <c r="D814" s="2" t="s">
        <v>38</v>
      </c>
      <c r="E814" s="2" t="s">
        <v>38</v>
      </c>
      <c r="F814" s="2" t="s">
        <v>3791</v>
      </c>
      <c r="G814" s="2" t="s">
        <v>3792</v>
      </c>
      <c r="H814" s="2" t="s">
        <v>3793</v>
      </c>
      <c r="I814" s="2" t="s">
        <v>3793</v>
      </c>
      <c r="J814" s="2" t="s">
        <v>3794</v>
      </c>
      <c r="K814" s="2" t="s">
        <v>82</v>
      </c>
      <c r="L814" s="2" t="s">
        <v>3795</v>
      </c>
      <c r="M814" s="2" t="s">
        <v>0</v>
      </c>
      <c r="N814" s="2" t="s">
        <v>0</v>
      </c>
      <c r="O814" s="2">
        <v>10</v>
      </c>
      <c r="P814" s="2">
        <v>17</v>
      </c>
      <c r="Q814" s="2" t="s">
        <v>46</v>
      </c>
      <c r="R814" s="2" t="s">
        <v>47</v>
      </c>
      <c r="S814" s="2">
        <v>0</v>
      </c>
      <c r="T814" s="2">
        <v>0</v>
      </c>
      <c r="U814" s="2">
        <v>0</v>
      </c>
      <c r="V814" s="2">
        <v>0</v>
      </c>
      <c r="W814" s="2">
        <v>31</v>
      </c>
      <c r="X814" s="2" t="s">
        <v>3796</v>
      </c>
      <c r="Y814" s="2">
        <v>7</v>
      </c>
      <c r="Z814" s="2">
        <v>24</v>
      </c>
      <c r="AA814" s="2">
        <v>7</v>
      </c>
      <c r="AB814" s="2">
        <v>4</v>
      </c>
      <c r="AC814" s="2">
        <v>1</v>
      </c>
      <c r="AD814" s="2">
        <v>1</v>
      </c>
      <c r="AE814" s="2" t="s">
        <v>0</v>
      </c>
      <c r="AF814" s="2">
        <v>3</v>
      </c>
      <c r="AG814" s="2" t="s">
        <v>49</v>
      </c>
    </row>
    <row r="815" spans="1:33" ht="127.5" x14ac:dyDescent="0.2">
      <c r="A815" s="5" t="str">
        <f>HYPERLINK("http://www.patentics.cn/invokexml.do?sf=ShowPatent&amp;spn=US9100155&amp;sv=dd9da8548574601f53090835273604c4","US9100155")</f>
        <v>US9100155</v>
      </c>
      <c r="B815" s="3" t="s">
        <v>3797</v>
      </c>
      <c r="C815" s="3" t="s">
        <v>3798</v>
      </c>
      <c r="D815" s="3" t="s">
        <v>52</v>
      </c>
      <c r="E815" s="3" t="s">
        <v>52</v>
      </c>
      <c r="F815" s="3" t="s">
        <v>3799</v>
      </c>
      <c r="G815" s="3" t="s">
        <v>3800</v>
      </c>
      <c r="H815" s="3" t="s">
        <v>3801</v>
      </c>
      <c r="I815" s="3" t="s">
        <v>3802</v>
      </c>
      <c r="J815" s="3" t="s">
        <v>3803</v>
      </c>
      <c r="K815" s="3" t="s">
        <v>82</v>
      </c>
      <c r="L815" s="3" t="s">
        <v>83</v>
      </c>
      <c r="M815" s="3" t="s">
        <v>0</v>
      </c>
      <c r="N815" s="3" t="s">
        <v>0</v>
      </c>
      <c r="O815" s="3">
        <v>0</v>
      </c>
      <c r="P815" s="3">
        <v>33</v>
      </c>
      <c r="Q815" s="3" t="s">
        <v>60</v>
      </c>
      <c r="R815" s="3" t="s">
        <v>61</v>
      </c>
      <c r="S815" s="3">
        <v>20</v>
      </c>
      <c r="T815" s="3">
        <v>0</v>
      </c>
      <c r="U815" s="3">
        <v>20</v>
      </c>
      <c r="V815" s="3">
        <v>10</v>
      </c>
      <c r="W815" s="3">
        <v>7</v>
      </c>
      <c r="X815" s="3" t="s">
        <v>74</v>
      </c>
      <c r="Y815" s="3">
        <v>0</v>
      </c>
      <c r="Z815" s="3">
        <v>7</v>
      </c>
      <c r="AA815" s="3">
        <v>1</v>
      </c>
      <c r="AB815" s="3">
        <v>2</v>
      </c>
      <c r="AC815" s="3">
        <v>12</v>
      </c>
      <c r="AD815" s="3">
        <v>7</v>
      </c>
      <c r="AE815" s="3">
        <v>14</v>
      </c>
      <c r="AF815" s="3" t="s">
        <v>0</v>
      </c>
      <c r="AG815" s="3" t="s">
        <v>49</v>
      </c>
    </row>
    <row r="816" spans="1:33" ht="51" x14ac:dyDescent="0.2">
      <c r="A816" s="5" t="str">
        <f>HYPERLINK("http://www.patentics.cn/invokexml.do?sf=ShowPatent&amp;spn=CN102415041B&amp;sv=9aa6abdf4aabd1ae99a799988a8c2704","CN102415041B")</f>
        <v>CN102415041B</v>
      </c>
      <c r="B816" s="3" t="s">
        <v>3804</v>
      </c>
      <c r="C816" s="3" t="s">
        <v>3805</v>
      </c>
      <c r="D816" s="3" t="s">
        <v>338</v>
      </c>
      <c r="E816" s="3" t="s">
        <v>338</v>
      </c>
      <c r="F816" s="3" t="s">
        <v>3806</v>
      </c>
      <c r="G816" s="3" t="s">
        <v>2880</v>
      </c>
      <c r="H816" s="3" t="s">
        <v>3807</v>
      </c>
      <c r="I816" s="3" t="s">
        <v>1043</v>
      </c>
      <c r="J816" s="3" t="s">
        <v>2482</v>
      </c>
      <c r="K816" s="3" t="s">
        <v>58</v>
      </c>
      <c r="L816" s="3" t="s">
        <v>2719</v>
      </c>
      <c r="M816" s="3" t="s">
        <v>0</v>
      </c>
      <c r="N816" s="3" t="s">
        <v>0</v>
      </c>
      <c r="O816" s="3">
        <v>12</v>
      </c>
      <c r="P816" s="3">
        <v>9</v>
      </c>
      <c r="Q816" s="3" t="s">
        <v>60</v>
      </c>
      <c r="R816" s="3" t="s">
        <v>61</v>
      </c>
      <c r="S816" s="3">
        <v>1</v>
      </c>
      <c r="T816" s="3">
        <v>0</v>
      </c>
      <c r="U816" s="3">
        <v>1</v>
      </c>
      <c r="V816" s="3">
        <v>1</v>
      </c>
      <c r="W816" s="3">
        <v>20</v>
      </c>
      <c r="X816" s="3" t="s">
        <v>147</v>
      </c>
      <c r="Y816" s="3">
        <v>0</v>
      </c>
      <c r="Z816" s="3">
        <v>20</v>
      </c>
      <c r="AA816" s="3">
        <v>0</v>
      </c>
      <c r="AB816" s="3">
        <v>1</v>
      </c>
      <c r="AC816" s="3">
        <v>31</v>
      </c>
      <c r="AD816" s="3">
        <v>7</v>
      </c>
      <c r="AE816" s="3">
        <v>14</v>
      </c>
      <c r="AF816" s="3" t="s">
        <v>0</v>
      </c>
      <c r="AG816" s="3" t="s">
        <v>49</v>
      </c>
    </row>
    <row r="817" spans="1:33" ht="63.75" x14ac:dyDescent="0.2">
      <c r="A817" s="5" t="str">
        <f>HYPERLINK("http://www.patentics.cn/invokexml.do?sf=ShowPatent&amp;spn=CN102870367B&amp;sv=8dcd27bc60dd1f5613d8c29c3bdf95ad","CN102870367B")</f>
        <v>CN102870367B</v>
      </c>
      <c r="B817" s="3" t="s">
        <v>3808</v>
      </c>
      <c r="C817" s="3" t="s">
        <v>3809</v>
      </c>
      <c r="D817" s="3" t="s">
        <v>338</v>
      </c>
      <c r="E817" s="3" t="s">
        <v>338</v>
      </c>
      <c r="F817" s="3" t="s">
        <v>3810</v>
      </c>
      <c r="G817" s="3" t="s">
        <v>3811</v>
      </c>
      <c r="H817" s="3" t="s">
        <v>3801</v>
      </c>
      <c r="I817" s="3" t="s">
        <v>3739</v>
      </c>
      <c r="J817" s="3" t="s">
        <v>1192</v>
      </c>
      <c r="K817" s="3" t="s">
        <v>58</v>
      </c>
      <c r="L817" s="3" t="s">
        <v>188</v>
      </c>
      <c r="M817" s="3" t="s">
        <v>0</v>
      </c>
      <c r="N817" s="3" t="s">
        <v>0</v>
      </c>
      <c r="O817" s="3">
        <v>36</v>
      </c>
      <c r="P817" s="3">
        <v>35</v>
      </c>
      <c r="Q817" s="3" t="s">
        <v>60</v>
      </c>
      <c r="R817" s="3" t="s">
        <v>61</v>
      </c>
      <c r="S817" s="3">
        <v>4</v>
      </c>
      <c r="T817" s="3">
        <v>0</v>
      </c>
      <c r="U817" s="3">
        <v>4</v>
      </c>
      <c r="V817" s="3">
        <v>2</v>
      </c>
      <c r="W817" s="3">
        <v>6</v>
      </c>
      <c r="X817" s="3" t="s">
        <v>147</v>
      </c>
      <c r="Y817" s="3">
        <v>0</v>
      </c>
      <c r="Z817" s="3">
        <v>6</v>
      </c>
      <c r="AA817" s="3">
        <v>0</v>
      </c>
      <c r="AB817" s="3">
        <v>1</v>
      </c>
      <c r="AC817" s="3">
        <v>12</v>
      </c>
      <c r="AD817" s="3">
        <v>7</v>
      </c>
      <c r="AE817" s="3">
        <v>14</v>
      </c>
      <c r="AF817" s="3" t="s">
        <v>0</v>
      </c>
      <c r="AG817" s="3" t="s">
        <v>49</v>
      </c>
    </row>
    <row r="818" spans="1:33" x14ac:dyDescent="0.2">
      <c r="A818" s="4" t="str">
        <f>HYPERLINK("http://www.patentics.cn/invokexml.do?sf=ShowPatent&amp;spn=CN101272155&amp;sv=58d112bb7e432f893397848563d19dc6","CN101272155")</f>
        <v>CN101272155</v>
      </c>
      <c r="B818" s="2" t="s">
        <v>3812</v>
      </c>
      <c r="C818" s="2" t="s">
        <v>3813</v>
      </c>
      <c r="D818" s="2" t="s">
        <v>38</v>
      </c>
      <c r="E818" s="2" t="s">
        <v>38</v>
      </c>
      <c r="F818" s="2" t="s">
        <v>3814</v>
      </c>
      <c r="G818" s="2" t="s">
        <v>3814</v>
      </c>
      <c r="H818" s="2" t="s">
        <v>3815</v>
      </c>
      <c r="I818" s="2" t="s">
        <v>3815</v>
      </c>
      <c r="J818" s="2" t="s">
        <v>3816</v>
      </c>
      <c r="K818" s="2" t="s">
        <v>84</v>
      </c>
      <c r="L818" s="2" t="s">
        <v>3817</v>
      </c>
      <c r="M818" s="2" t="s">
        <v>84</v>
      </c>
      <c r="N818" s="2" t="s">
        <v>3818</v>
      </c>
      <c r="O818" s="2">
        <v>9</v>
      </c>
      <c r="P818" s="2">
        <v>11</v>
      </c>
      <c r="Q818" s="2" t="s">
        <v>46</v>
      </c>
      <c r="R818" s="2" t="s">
        <v>47</v>
      </c>
      <c r="S818" s="2">
        <v>0</v>
      </c>
      <c r="T818" s="2">
        <v>0</v>
      </c>
      <c r="U818" s="2">
        <v>0</v>
      </c>
      <c r="V818" s="2">
        <v>0</v>
      </c>
      <c r="W818" s="2">
        <v>5</v>
      </c>
      <c r="X818" s="2" t="s">
        <v>3819</v>
      </c>
      <c r="Y818" s="2">
        <v>1</v>
      </c>
      <c r="Z818" s="2">
        <v>4</v>
      </c>
      <c r="AA818" s="2">
        <v>3</v>
      </c>
      <c r="AB818" s="2">
        <v>3</v>
      </c>
      <c r="AC818" s="2">
        <v>1</v>
      </c>
      <c r="AD818" s="2">
        <v>1</v>
      </c>
      <c r="AE818" s="2" t="s">
        <v>0</v>
      </c>
      <c r="AF818" s="2">
        <v>3</v>
      </c>
      <c r="AG818" s="2" t="s">
        <v>49</v>
      </c>
    </row>
    <row r="819" spans="1:33" ht="51" x14ac:dyDescent="0.2">
      <c r="A819" s="5" t="str">
        <f>HYPERLINK("http://www.patentics.cn/invokexml.do?sf=ShowPatent&amp;spn=US8737526&amp;sv=579c8b285f87b6f51cc5f37388d17ba1","US8737526")</f>
        <v>US8737526</v>
      </c>
      <c r="B819" s="3" t="s">
        <v>3820</v>
      </c>
      <c r="C819" s="3" t="s">
        <v>3821</v>
      </c>
      <c r="D819" s="3" t="s">
        <v>52</v>
      </c>
      <c r="E819" s="3" t="s">
        <v>52</v>
      </c>
      <c r="F819" s="3" t="s">
        <v>3822</v>
      </c>
      <c r="G819" s="3" t="s">
        <v>3823</v>
      </c>
      <c r="H819" s="3" t="s">
        <v>3175</v>
      </c>
      <c r="I819" s="3" t="s">
        <v>3175</v>
      </c>
      <c r="J819" s="3" t="s">
        <v>1987</v>
      </c>
      <c r="K819" s="3" t="s">
        <v>58</v>
      </c>
      <c r="L819" s="3" t="s">
        <v>3824</v>
      </c>
      <c r="M819" s="3" t="s">
        <v>3825</v>
      </c>
      <c r="N819" s="3" t="s">
        <v>3826</v>
      </c>
      <c r="O819" s="3">
        <v>0</v>
      </c>
      <c r="P819" s="3">
        <v>13</v>
      </c>
      <c r="Q819" s="3" t="s">
        <v>60</v>
      </c>
      <c r="R819" s="3" t="s">
        <v>61</v>
      </c>
      <c r="S819" s="3">
        <v>32</v>
      </c>
      <c r="T819" s="3">
        <v>3</v>
      </c>
      <c r="U819" s="3">
        <v>29</v>
      </c>
      <c r="V819" s="3">
        <v>19</v>
      </c>
      <c r="W819" s="3">
        <v>3</v>
      </c>
      <c r="X819" s="3" t="s">
        <v>104</v>
      </c>
      <c r="Y819" s="3">
        <v>1</v>
      </c>
      <c r="Z819" s="3">
        <v>2</v>
      </c>
      <c r="AA819" s="3">
        <v>3</v>
      </c>
      <c r="AB819" s="3">
        <v>1</v>
      </c>
      <c r="AC819" s="3">
        <v>6</v>
      </c>
      <c r="AD819" s="3">
        <v>5</v>
      </c>
      <c r="AE819" s="3">
        <v>14</v>
      </c>
      <c r="AF819" s="3" t="s">
        <v>0</v>
      </c>
      <c r="AG819" s="3" t="s">
        <v>49</v>
      </c>
    </row>
    <row r="820" spans="1:33" ht="191.25" x14ac:dyDescent="0.2">
      <c r="A820" s="5" t="str">
        <f>HYPERLINK("http://www.patentics.cn/invokexml.do?sf=ShowPatent&amp;spn=US8964821&amp;sv=dc1edcab5c090c9f041ff29ab0d63273","US8964821")</f>
        <v>US8964821</v>
      </c>
      <c r="B820" s="3" t="s">
        <v>3827</v>
      </c>
      <c r="C820" s="3" t="s">
        <v>3828</v>
      </c>
      <c r="D820" s="3" t="s">
        <v>52</v>
      </c>
      <c r="E820" s="3" t="s">
        <v>52</v>
      </c>
      <c r="F820" s="3" t="s">
        <v>3829</v>
      </c>
      <c r="G820" s="3" t="s">
        <v>3830</v>
      </c>
      <c r="H820" s="3" t="s">
        <v>3831</v>
      </c>
      <c r="I820" s="3" t="s">
        <v>3251</v>
      </c>
      <c r="J820" s="3" t="s">
        <v>805</v>
      </c>
      <c r="K820" s="3" t="s">
        <v>84</v>
      </c>
      <c r="L820" s="3" t="s">
        <v>1791</v>
      </c>
      <c r="M820" s="3" t="s">
        <v>3825</v>
      </c>
      <c r="N820" s="3" t="s">
        <v>3826</v>
      </c>
      <c r="O820" s="3">
        <v>0</v>
      </c>
      <c r="P820" s="3">
        <v>13</v>
      </c>
      <c r="Q820" s="3" t="s">
        <v>60</v>
      </c>
      <c r="R820" s="3" t="s">
        <v>61</v>
      </c>
      <c r="S820" s="3">
        <v>42</v>
      </c>
      <c r="T820" s="3">
        <v>6</v>
      </c>
      <c r="U820" s="3">
        <v>36</v>
      </c>
      <c r="V820" s="3">
        <v>24</v>
      </c>
      <c r="W820" s="3">
        <v>1</v>
      </c>
      <c r="X820" s="3" t="s">
        <v>108</v>
      </c>
      <c r="Y820" s="3">
        <v>0</v>
      </c>
      <c r="Z820" s="3">
        <v>1</v>
      </c>
      <c r="AA820" s="3">
        <v>1</v>
      </c>
      <c r="AB820" s="3">
        <v>1</v>
      </c>
      <c r="AC820" s="3">
        <v>6</v>
      </c>
      <c r="AD820" s="3">
        <v>6</v>
      </c>
      <c r="AE820" s="3">
        <v>14</v>
      </c>
      <c r="AF820" s="3" t="s">
        <v>0</v>
      </c>
      <c r="AG820" s="3" t="s">
        <v>49</v>
      </c>
    </row>
    <row r="821" spans="1:33" ht="204" x14ac:dyDescent="0.2">
      <c r="A821" s="5" t="str">
        <f>HYPERLINK("http://www.patentics.cn/invokexml.do?sf=ShowPatent&amp;spn=WO2013056257&amp;sv=1a9ed3add337f7a0174a8a8dd7273777","WO2013056257")</f>
        <v>WO2013056257</v>
      </c>
      <c r="B821" s="3" t="s">
        <v>3832</v>
      </c>
      <c r="C821" s="3" t="s">
        <v>3833</v>
      </c>
      <c r="D821" s="3" t="s">
        <v>52</v>
      </c>
      <c r="E821" s="3" t="s">
        <v>52</v>
      </c>
      <c r="F821" s="3" t="s">
        <v>3834</v>
      </c>
      <c r="G821" s="3" t="s">
        <v>3835</v>
      </c>
      <c r="H821" s="3" t="s">
        <v>3831</v>
      </c>
      <c r="I821" s="3" t="s">
        <v>3836</v>
      </c>
      <c r="J821" s="3" t="s">
        <v>3837</v>
      </c>
      <c r="K821" s="3" t="s">
        <v>58</v>
      </c>
      <c r="L821" s="3" t="s">
        <v>3325</v>
      </c>
      <c r="M821" s="3" t="s">
        <v>0</v>
      </c>
      <c r="N821" s="3" t="s">
        <v>0</v>
      </c>
      <c r="O821" s="3">
        <v>47</v>
      </c>
      <c r="P821" s="3">
        <v>5</v>
      </c>
      <c r="Q821" s="3" t="s">
        <v>352</v>
      </c>
      <c r="R821" s="3" t="s">
        <v>61</v>
      </c>
      <c r="S821" s="3">
        <v>5</v>
      </c>
      <c r="T821" s="3">
        <v>0</v>
      </c>
      <c r="U821" s="3">
        <v>5</v>
      </c>
      <c r="V821" s="3">
        <v>4</v>
      </c>
      <c r="W821" s="3">
        <v>0</v>
      </c>
      <c r="X821" s="3" t="s">
        <v>147</v>
      </c>
      <c r="Y821" s="3">
        <v>0</v>
      </c>
      <c r="Z821" s="3">
        <v>0</v>
      </c>
      <c r="AA821" s="3">
        <v>0</v>
      </c>
      <c r="AB821" s="3">
        <v>0</v>
      </c>
      <c r="AC821" s="3">
        <v>6</v>
      </c>
      <c r="AD821" s="3">
        <v>6</v>
      </c>
      <c r="AE821" s="3">
        <v>14</v>
      </c>
      <c r="AF821" s="3" t="s">
        <v>0</v>
      </c>
      <c r="AG821" s="3" t="s">
        <v>0</v>
      </c>
    </row>
    <row r="822" spans="1:33" ht="25.5" x14ac:dyDescent="0.2">
      <c r="A822" s="4" t="str">
        <f>HYPERLINK("http://www.patentics.cn/invokexml.do?sf=ShowPatent&amp;spn=CN101232731&amp;sv=7e24be28c89c8116891c2dd6f3ed6574","CN101232731")</f>
        <v>CN101232731</v>
      </c>
      <c r="B822" s="2" t="s">
        <v>3838</v>
      </c>
      <c r="C822" s="2" t="s">
        <v>3839</v>
      </c>
      <c r="D822" s="2" t="s">
        <v>38</v>
      </c>
      <c r="E822" s="2" t="s">
        <v>38</v>
      </c>
      <c r="F822" s="2" t="s">
        <v>3840</v>
      </c>
      <c r="G822" s="2" t="s">
        <v>3841</v>
      </c>
      <c r="H822" s="2" t="s">
        <v>3842</v>
      </c>
      <c r="I822" s="2" t="s">
        <v>3842</v>
      </c>
      <c r="J822" s="2" t="s">
        <v>1979</v>
      </c>
      <c r="K822" s="2" t="s">
        <v>43</v>
      </c>
      <c r="L822" s="2" t="s">
        <v>2591</v>
      </c>
      <c r="M822" s="2" t="s">
        <v>43</v>
      </c>
      <c r="N822" s="2" t="s">
        <v>3843</v>
      </c>
      <c r="O822" s="2">
        <v>10</v>
      </c>
      <c r="P822" s="2">
        <v>25</v>
      </c>
      <c r="Q822" s="2" t="s">
        <v>46</v>
      </c>
      <c r="R822" s="2" t="s">
        <v>47</v>
      </c>
      <c r="S822" s="2">
        <v>0</v>
      </c>
      <c r="T822" s="2">
        <v>0</v>
      </c>
      <c r="U822" s="2">
        <v>0</v>
      </c>
      <c r="V822" s="2">
        <v>0</v>
      </c>
      <c r="W822" s="2">
        <v>27</v>
      </c>
      <c r="X822" s="2" t="s">
        <v>3844</v>
      </c>
      <c r="Y822" s="2">
        <v>16</v>
      </c>
      <c r="Z822" s="2">
        <v>11</v>
      </c>
      <c r="AA822" s="2">
        <v>7</v>
      </c>
      <c r="AB822" s="2">
        <v>3</v>
      </c>
      <c r="AC822" s="2">
        <v>1</v>
      </c>
      <c r="AD822" s="2">
        <v>1</v>
      </c>
      <c r="AE822" s="2" t="s">
        <v>0</v>
      </c>
      <c r="AF822" s="2">
        <v>3</v>
      </c>
      <c r="AG822" s="2" t="s">
        <v>49</v>
      </c>
    </row>
    <row r="823" spans="1:33" ht="89.25" x14ac:dyDescent="0.2">
      <c r="A823" s="5" t="str">
        <f>HYPERLINK("http://www.patentics.cn/invokexml.do?sf=ShowPatent&amp;spn=US8526442&amp;sv=593cb4fbfa21e0256f0b05455c30c1d9","US8526442")</f>
        <v>US8526442</v>
      </c>
      <c r="B823" s="3" t="s">
        <v>3845</v>
      </c>
      <c r="C823" s="3" t="s">
        <v>3846</v>
      </c>
      <c r="D823" s="3" t="s">
        <v>52</v>
      </c>
      <c r="E823" s="3" t="s">
        <v>52</v>
      </c>
      <c r="F823" s="3" t="s">
        <v>3847</v>
      </c>
      <c r="G823" s="3" t="s">
        <v>790</v>
      </c>
      <c r="H823" s="3" t="s">
        <v>3848</v>
      </c>
      <c r="I823" s="3" t="s">
        <v>3848</v>
      </c>
      <c r="J823" s="3" t="s">
        <v>3849</v>
      </c>
      <c r="K823" s="3" t="s">
        <v>58</v>
      </c>
      <c r="L823" s="3" t="s">
        <v>289</v>
      </c>
      <c r="M823" s="3" t="s">
        <v>82</v>
      </c>
      <c r="N823" s="3" t="s">
        <v>3850</v>
      </c>
      <c r="O823" s="3">
        <v>0</v>
      </c>
      <c r="P823" s="3">
        <v>13</v>
      </c>
      <c r="Q823" s="3" t="s">
        <v>60</v>
      </c>
      <c r="R823" s="3" t="s">
        <v>61</v>
      </c>
      <c r="S823" s="3">
        <v>48</v>
      </c>
      <c r="T823" s="3">
        <v>7</v>
      </c>
      <c r="U823" s="3">
        <v>41</v>
      </c>
      <c r="V823" s="3">
        <v>26</v>
      </c>
      <c r="W823" s="3">
        <v>1</v>
      </c>
      <c r="X823" s="3" t="s">
        <v>1232</v>
      </c>
      <c r="Y823" s="3">
        <v>0</v>
      </c>
      <c r="Z823" s="3">
        <v>1</v>
      </c>
      <c r="AA823" s="3">
        <v>1</v>
      </c>
      <c r="AB823" s="3">
        <v>1</v>
      </c>
      <c r="AC823" s="3">
        <v>10</v>
      </c>
      <c r="AD823" s="3">
        <v>7</v>
      </c>
      <c r="AE823" s="3">
        <v>14</v>
      </c>
      <c r="AF823" s="3" t="s">
        <v>0</v>
      </c>
      <c r="AG823" s="3" t="s">
        <v>49</v>
      </c>
    </row>
    <row r="824" spans="1:33" ht="89.25" x14ac:dyDescent="0.2">
      <c r="A824" s="5" t="str">
        <f>HYPERLINK("http://www.patentics.cn/invokexml.do?sf=ShowPatent&amp;spn=US9084231&amp;sv=7fe110bc81ffb7cc422384a0b2b3dda6","US9084231")</f>
        <v>US9084231</v>
      </c>
      <c r="B824" s="3" t="s">
        <v>3851</v>
      </c>
      <c r="C824" s="3" t="s">
        <v>3852</v>
      </c>
      <c r="D824" s="3" t="s">
        <v>52</v>
      </c>
      <c r="E824" s="3" t="s">
        <v>52</v>
      </c>
      <c r="F824" s="3" t="s">
        <v>3847</v>
      </c>
      <c r="G824" s="3" t="s">
        <v>790</v>
      </c>
      <c r="H824" s="3" t="s">
        <v>3848</v>
      </c>
      <c r="I824" s="3" t="s">
        <v>3848</v>
      </c>
      <c r="J824" s="3" t="s">
        <v>2926</v>
      </c>
      <c r="K824" s="3" t="s">
        <v>82</v>
      </c>
      <c r="L824" s="3" t="s">
        <v>83</v>
      </c>
      <c r="M824" s="3" t="s">
        <v>0</v>
      </c>
      <c r="N824" s="3" t="s">
        <v>0</v>
      </c>
      <c r="O824" s="3">
        <v>0</v>
      </c>
      <c r="P824" s="3">
        <v>9</v>
      </c>
      <c r="Q824" s="3" t="s">
        <v>60</v>
      </c>
      <c r="R824" s="3" t="s">
        <v>61</v>
      </c>
      <c r="S824" s="3">
        <v>64</v>
      </c>
      <c r="T824" s="3">
        <v>7</v>
      </c>
      <c r="U824" s="3">
        <v>57</v>
      </c>
      <c r="V824" s="3">
        <v>31</v>
      </c>
      <c r="W824" s="3">
        <v>0</v>
      </c>
      <c r="X824" s="3" t="s">
        <v>147</v>
      </c>
      <c r="Y824" s="3">
        <v>0</v>
      </c>
      <c r="Z824" s="3">
        <v>0</v>
      </c>
      <c r="AA824" s="3">
        <v>0</v>
      </c>
      <c r="AB824" s="3">
        <v>0</v>
      </c>
      <c r="AC824" s="3">
        <v>11</v>
      </c>
      <c r="AD824" s="3">
        <v>7</v>
      </c>
      <c r="AE824" s="3">
        <v>14</v>
      </c>
      <c r="AF824" s="3" t="s">
        <v>0</v>
      </c>
      <c r="AG824" s="3" t="s">
        <v>49</v>
      </c>
    </row>
    <row r="825" spans="1:33" ht="51" x14ac:dyDescent="0.2">
      <c r="A825" s="5" t="str">
        <f>HYPERLINK("http://www.patentics.cn/invokexml.do?sf=ShowPatent&amp;spn=CN101971683B&amp;sv=6273aae8ace9ce32fc783bf38a8adda3","CN101971683B")</f>
        <v>CN101971683B</v>
      </c>
      <c r="B825" s="3" t="s">
        <v>3853</v>
      </c>
      <c r="C825" s="3" t="s">
        <v>3854</v>
      </c>
      <c r="D825" s="3" t="s">
        <v>338</v>
      </c>
      <c r="E825" s="3" t="s">
        <v>338</v>
      </c>
      <c r="F825" s="3" t="s">
        <v>3855</v>
      </c>
      <c r="G825" s="3" t="s">
        <v>3856</v>
      </c>
      <c r="H825" s="3" t="s">
        <v>3848</v>
      </c>
      <c r="I825" s="3" t="s">
        <v>3857</v>
      </c>
      <c r="J825" s="3" t="s">
        <v>2697</v>
      </c>
      <c r="K825" s="3" t="s">
        <v>82</v>
      </c>
      <c r="L825" s="3" t="s">
        <v>3858</v>
      </c>
      <c r="M825" s="3" t="s">
        <v>0</v>
      </c>
      <c r="N825" s="3" t="s">
        <v>0</v>
      </c>
      <c r="O825" s="3">
        <v>32</v>
      </c>
      <c r="P825" s="3">
        <v>10</v>
      </c>
      <c r="Q825" s="3" t="s">
        <v>60</v>
      </c>
      <c r="R825" s="3" t="s">
        <v>61</v>
      </c>
      <c r="S825" s="3">
        <v>2</v>
      </c>
      <c r="T825" s="3">
        <v>0</v>
      </c>
      <c r="U825" s="3">
        <v>2</v>
      </c>
      <c r="V825" s="3">
        <v>2</v>
      </c>
      <c r="W825" s="3">
        <v>0</v>
      </c>
      <c r="X825" s="3" t="s">
        <v>147</v>
      </c>
      <c r="Y825" s="3">
        <v>0</v>
      </c>
      <c r="Z825" s="3">
        <v>0</v>
      </c>
      <c r="AA825" s="3">
        <v>0</v>
      </c>
      <c r="AB825" s="3">
        <v>0</v>
      </c>
      <c r="AC825" s="3">
        <v>10</v>
      </c>
      <c r="AD825" s="3">
        <v>7</v>
      </c>
      <c r="AE825" s="3">
        <v>14</v>
      </c>
      <c r="AF825" s="3" t="s">
        <v>0</v>
      </c>
      <c r="AG825" s="3" t="s">
        <v>49</v>
      </c>
    </row>
    <row r="826" spans="1:33" ht="25.5" x14ac:dyDescent="0.2">
      <c r="A826" s="4" t="str">
        <f>HYPERLINK("http://www.patentics.cn/invokexml.do?sf=ShowPatent&amp;spn=CN101179307&amp;sv=6392799dda659f75dcaa7ed69a30053e","CN101179307")</f>
        <v>CN101179307</v>
      </c>
      <c r="B826" s="2" t="s">
        <v>3859</v>
      </c>
      <c r="C826" s="2" t="s">
        <v>3860</v>
      </c>
      <c r="D826" s="2" t="s">
        <v>38</v>
      </c>
      <c r="E826" s="2" t="s">
        <v>38</v>
      </c>
      <c r="F826" s="2" t="s">
        <v>3861</v>
      </c>
      <c r="G826" s="2" t="s">
        <v>3862</v>
      </c>
      <c r="H826" s="2" t="s">
        <v>1328</v>
      </c>
      <c r="I826" s="2" t="s">
        <v>1328</v>
      </c>
      <c r="J826" s="2" t="s">
        <v>3863</v>
      </c>
      <c r="K826" s="2" t="s">
        <v>84</v>
      </c>
      <c r="L826" s="2" t="s">
        <v>537</v>
      </c>
      <c r="M826" s="2" t="s">
        <v>84</v>
      </c>
      <c r="N826" s="2" t="s">
        <v>3864</v>
      </c>
      <c r="O826" s="2">
        <v>12</v>
      </c>
      <c r="P826" s="2">
        <v>14</v>
      </c>
      <c r="Q826" s="2" t="s">
        <v>46</v>
      </c>
      <c r="R826" s="2" t="s">
        <v>47</v>
      </c>
      <c r="S826" s="2">
        <v>0</v>
      </c>
      <c r="T826" s="2">
        <v>0</v>
      </c>
      <c r="U826" s="2">
        <v>0</v>
      </c>
      <c r="V826" s="2">
        <v>0</v>
      </c>
      <c r="W826" s="2">
        <v>4</v>
      </c>
      <c r="X826" s="2" t="s">
        <v>364</v>
      </c>
      <c r="Y826" s="2">
        <v>1</v>
      </c>
      <c r="Z826" s="2">
        <v>3</v>
      </c>
      <c r="AA826" s="2">
        <v>2</v>
      </c>
      <c r="AB826" s="2">
        <v>2</v>
      </c>
      <c r="AC826" s="2">
        <v>1</v>
      </c>
      <c r="AD826" s="2">
        <v>1</v>
      </c>
      <c r="AE826" s="2" t="s">
        <v>0</v>
      </c>
      <c r="AF826" s="2">
        <v>3</v>
      </c>
      <c r="AG826" s="2" t="s">
        <v>755</v>
      </c>
    </row>
    <row r="827" spans="1:33" ht="102" x14ac:dyDescent="0.2">
      <c r="A827" s="5" t="str">
        <f>HYPERLINK("http://www.patentics.cn/invokexml.do?sf=ShowPatent&amp;spn=US9031044&amp;sv=f6fc1da17912079cc84bf28bb49a062e","US9031044")</f>
        <v>US9031044</v>
      </c>
      <c r="B827" s="3" t="s">
        <v>3865</v>
      </c>
      <c r="C827" s="3" t="s">
        <v>3866</v>
      </c>
      <c r="D827" s="3" t="s">
        <v>52</v>
      </c>
      <c r="E827" s="3" t="s">
        <v>52</v>
      </c>
      <c r="F827" s="3" t="s">
        <v>3867</v>
      </c>
      <c r="G827" s="3" t="s">
        <v>90</v>
      </c>
      <c r="H827" s="3" t="s">
        <v>3868</v>
      </c>
      <c r="I827" s="3" t="s">
        <v>1168</v>
      </c>
      <c r="J827" s="3" t="s">
        <v>502</v>
      </c>
      <c r="K827" s="3" t="s">
        <v>82</v>
      </c>
      <c r="L827" s="3" t="s">
        <v>1626</v>
      </c>
      <c r="M827" s="3" t="s">
        <v>0</v>
      </c>
      <c r="N827" s="3" t="s">
        <v>0</v>
      </c>
      <c r="O827" s="3">
        <v>0</v>
      </c>
      <c r="P827" s="3">
        <v>28</v>
      </c>
      <c r="Q827" s="3" t="s">
        <v>60</v>
      </c>
      <c r="R827" s="3" t="s">
        <v>61</v>
      </c>
      <c r="S827" s="3">
        <v>31</v>
      </c>
      <c r="T827" s="3">
        <v>4</v>
      </c>
      <c r="U827" s="3">
        <v>27</v>
      </c>
      <c r="V827" s="3">
        <v>15</v>
      </c>
      <c r="W827" s="3">
        <v>0</v>
      </c>
      <c r="X827" s="3" t="s">
        <v>147</v>
      </c>
      <c r="Y827" s="3">
        <v>0</v>
      </c>
      <c r="Z827" s="3">
        <v>0</v>
      </c>
      <c r="AA827" s="3">
        <v>0</v>
      </c>
      <c r="AB827" s="3">
        <v>0</v>
      </c>
      <c r="AC827" s="3">
        <v>11</v>
      </c>
      <c r="AD827" s="3">
        <v>7</v>
      </c>
      <c r="AE827" s="3">
        <v>14</v>
      </c>
      <c r="AF827" s="3" t="s">
        <v>0</v>
      </c>
      <c r="AG827" s="3" t="s">
        <v>49</v>
      </c>
    </row>
    <row r="828" spans="1:33" ht="127.5" x14ac:dyDescent="0.2">
      <c r="A828" s="5" t="str">
        <f>HYPERLINK("http://www.patentics.cn/invokexml.do?sf=ShowPatent&amp;spn=US9629100&amp;sv=85491c002a801d70c2897a826c542932","US9629100")</f>
        <v>US9629100</v>
      </c>
      <c r="B828" s="3" t="s">
        <v>3869</v>
      </c>
      <c r="C828" s="3" t="s">
        <v>3866</v>
      </c>
      <c r="D828" s="3" t="s">
        <v>52</v>
      </c>
      <c r="E828" s="3" t="s">
        <v>52</v>
      </c>
      <c r="F828" s="3" t="s">
        <v>3870</v>
      </c>
      <c r="G828" s="3" t="s">
        <v>90</v>
      </c>
      <c r="H828" s="3" t="s">
        <v>0</v>
      </c>
      <c r="I828" s="3" t="s">
        <v>3871</v>
      </c>
      <c r="J828" s="3" t="s">
        <v>744</v>
      </c>
      <c r="K828" s="3" t="s">
        <v>82</v>
      </c>
      <c r="L828" s="3" t="s">
        <v>1626</v>
      </c>
      <c r="M828" s="3" t="s">
        <v>82</v>
      </c>
      <c r="N828" s="3" t="s">
        <v>3872</v>
      </c>
      <c r="O828" s="3">
        <v>0</v>
      </c>
      <c r="P828" s="3">
        <v>22</v>
      </c>
      <c r="Q828" s="3" t="s">
        <v>60</v>
      </c>
      <c r="R828" s="3" t="s">
        <v>61</v>
      </c>
      <c r="S828" s="3">
        <v>40</v>
      </c>
      <c r="T828" s="3">
        <v>6</v>
      </c>
      <c r="U828" s="3">
        <v>34</v>
      </c>
      <c r="V828" s="3">
        <v>19</v>
      </c>
      <c r="W828" s="3">
        <v>0</v>
      </c>
      <c r="X828" s="3" t="s">
        <v>147</v>
      </c>
      <c r="Y828" s="3">
        <v>0</v>
      </c>
      <c r="Z828" s="3">
        <v>0</v>
      </c>
      <c r="AA828" s="3">
        <v>0</v>
      </c>
      <c r="AB828" s="3">
        <v>0</v>
      </c>
      <c r="AC828" s="3">
        <v>0</v>
      </c>
      <c r="AD828" s="3">
        <v>0</v>
      </c>
      <c r="AE828" s="3">
        <v>14</v>
      </c>
      <c r="AF828" s="3" t="s">
        <v>0</v>
      </c>
      <c r="AG828" s="3" t="s">
        <v>49</v>
      </c>
    </row>
    <row r="829" spans="1:33" ht="63.75" x14ac:dyDescent="0.2">
      <c r="A829" s="5" t="str">
        <f>HYPERLINK("http://www.patentics.cn/invokexml.do?sf=ShowPatent&amp;spn=CN102124789B&amp;sv=d8d503a7445cc6e813b16a9ae9a5b99c","CN102124789B")</f>
        <v>CN102124789B</v>
      </c>
      <c r="B829" s="3" t="s">
        <v>3873</v>
      </c>
      <c r="C829" s="3" t="s">
        <v>3874</v>
      </c>
      <c r="D829" s="3" t="s">
        <v>338</v>
      </c>
      <c r="E829" s="3" t="s">
        <v>338</v>
      </c>
      <c r="F829" s="3" t="s">
        <v>3875</v>
      </c>
      <c r="G829" s="3" t="s">
        <v>3876</v>
      </c>
      <c r="H829" s="3" t="s">
        <v>3868</v>
      </c>
      <c r="I829" s="3" t="s">
        <v>3877</v>
      </c>
      <c r="J829" s="3" t="s">
        <v>1192</v>
      </c>
      <c r="K829" s="3" t="s">
        <v>82</v>
      </c>
      <c r="L829" s="3" t="s">
        <v>1626</v>
      </c>
      <c r="M829" s="3" t="s">
        <v>0</v>
      </c>
      <c r="N829" s="3" t="s">
        <v>0</v>
      </c>
      <c r="O829" s="3">
        <v>53</v>
      </c>
      <c r="P829" s="3">
        <v>23</v>
      </c>
      <c r="Q829" s="3" t="s">
        <v>60</v>
      </c>
      <c r="R829" s="3" t="s">
        <v>61</v>
      </c>
      <c r="S829" s="3">
        <v>2</v>
      </c>
      <c r="T829" s="3">
        <v>0</v>
      </c>
      <c r="U829" s="3">
        <v>2</v>
      </c>
      <c r="V829" s="3">
        <v>2</v>
      </c>
      <c r="W829" s="3">
        <v>0</v>
      </c>
      <c r="X829" s="3" t="s">
        <v>147</v>
      </c>
      <c r="Y829" s="3">
        <v>0</v>
      </c>
      <c r="Z829" s="3">
        <v>0</v>
      </c>
      <c r="AA829" s="3">
        <v>0</v>
      </c>
      <c r="AB829" s="3">
        <v>0</v>
      </c>
      <c r="AC829" s="3">
        <v>11</v>
      </c>
      <c r="AD829" s="3">
        <v>7</v>
      </c>
      <c r="AE829" s="3">
        <v>14</v>
      </c>
      <c r="AF829" s="3" t="s">
        <v>0</v>
      </c>
      <c r="AG829" s="3" t="s">
        <v>49</v>
      </c>
    </row>
    <row r="830" spans="1:33" ht="63.75" x14ac:dyDescent="0.2">
      <c r="A830" s="4" t="str">
        <f>HYPERLINK("http://www.patentics.cn/invokexml.do?sf=ShowPatent&amp;spn=CN101159530&amp;sv=91885e5c7789b9b19a44a4197f6b495b","CN101159530")</f>
        <v>CN101159530</v>
      </c>
      <c r="B830" s="2" t="s">
        <v>3878</v>
      </c>
      <c r="C830" s="2" t="s">
        <v>3879</v>
      </c>
      <c r="D830" s="2" t="s">
        <v>38</v>
      </c>
      <c r="E830" s="2" t="s">
        <v>38</v>
      </c>
      <c r="F830" s="2" t="s">
        <v>3880</v>
      </c>
      <c r="G830" s="2" t="s">
        <v>3721</v>
      </c>
      <c r="H830" s="2" t="s">
        <v>3881</v>
      </c>
      <c r="I830" s="2" t="s">
        <v>3881</v>
      </c>
      <c r="J830" s="2" t="s">
        <v>3882</v>
      </c>
      <c r="K830" s="2" t="s">
        <v>58</v>
      </c>
      <c r="L830" s="2" t="s">
        <v>3883</v>
      </c>
      <c r="M830" s="2" t="s">
        <v>58</v>
      </c>
      <c r="N830" s="2" t="s">
        <v>1785</v>
      </c>
      <c r="O830" s="2">
        <v>6</v>
      </c>
      <c r="P830" s="2">
        <v>12</v>
      </c>
      <c r="Q830" s="2" t="s">
        <v>46</v>
      </c>
      <c r="R830" s="2" t="s">
        <v>47</v>
      </c>
      <c r="S830" s="2">
        <v>0</v>
      </c>
      <c r="T830" s="2">
        <v>0</v>
      </c>
      <c r="U830" s="2">
        <v>0</v>
      </c>
      <c r="V830" s="2">
        <v>0</v>
      </c>
      <c r="W830" s="2">
        <v>6</v>
      </c>
      <c r="X830" s="2" t="s">
        <v>3884</v>
      </c>
      <c r="Y830" s="2">
        <v>1</v>
      </c>
      <c r="Z830" s="2">
        <v>5</v>
      </c>
      <c r="AA830" s="2">
        <v>4</v>
      </c>
      <c r="AB830" s="2">
        <v>3</v>
      </c>
      <c r="AC830" s="2">
        <v>1</v>
      </c>
      <c r="AD830" s="2">
        <v>1</v>
      </c>
      <c r="AE830" s="2" t="s">
        <v>0</v>
      </c>
      <c r="AF830" s="2">
        <v>3</v>
      </c>
      <c r="AG830" s="2" t="s">
        <v>49</v>
      </c>
    </row>
    <row r="831" spans="1:33" ht="38.25" x14ac:dyDescent="0.2">
      <c r="A831" s="5" t="str">
        <f>HYPERLINK("http://www.patentics.cn/invokexml.do?sf=ShowPatent&amp;spn=US9485773&amp;sv=de650b6317b808e40a347bc80ec2a3a8","US9485773")</f>
        <v>US9485773</v>
      </c>
      <c r="B831" s="3" t="s">
        <v>3885</v>
      </c>
      <c r="C831" s="3" t="s">
        <v>3886</v>
      </c>
      <c r="D831" s="3" t="s">
        <v>52</v>
      </c>
      <c r="E831" s="3" t="s">
        <v>52</v>
      </c>
      <c r="F831" s="3" t="s">
        <v>3887</v>
      </c>
      <c r="G831" s="3" t="s">
        <v>3733</v>
      </c>
      <c r="H831" s="3" t="s">
        <v>3084</v>
      </c>
      <c r="I831" s="3" t="s">
        <v>3888</v>
      </c>
      <c r="J831" s="3" t="s">
        <v>727</v>
      </c>
      <c r="K831" s="3" t="s">
        <v>82</v>
      </c>
      <c r="L831" s="3" t="s">
        <v>83</v>
      </c>
      <c r="M831" s="3" t="s">
        <v>82</v>
      </c>
      <c r="N831" s="3" t="s">
        <v>977</v>
      </c>
      <c r="O831" s="3">
        <v>0</v>
      </c>
      <c r="P831" s="3">
        <v>19</v>
      </c>
      <c r="Q831" s="3" t="s">
        <v>60</v>
      </c>
      <c r="R831" s="3" t="s">
        <v>61</v>
      </c>
      <c r="S831" s="3">
        <v>94</v>
      </c>
      <c r="T831" s="3">
        <v>21</v>
      </c>
      <c r="U831" s="3">
        <v>73</v>
      </c>
      <c r="V831" s="3">
        <v>29</v>
      </c>
      <c r="W831" s="3">
        <v>0</v>
      </c>
      <c r="X831" s="3" t="s">
        <v>147</v>
      </c>
      <c r="Y831" s="3">
        <v>0</v>
      </c>
      <c r="Z831" s="3">
        <v>0</v>
      </c>
      <c r="AA831" s="3">
        <v>0</v>
      </c>
      <c r="AB831" s="3">
        <v>0</v>
      </c>
      <c r="AC831" s="3">
        <v>58</v>
      </c>
      <c r="AD831" s="3">
        <v>19</v>
      </c>
      <c r="AE831" s="3">
        <v>14</v>
      </c>
      <c r="AF831" s="3" t="s">
        <v>0</v>
      </c>
      <c r="AG831" s="3" t="s">
        <v>49</v>
      </c>
    </row>
    <row r="832" spans="1:33" ht="114.75" x14ac:dyDescent="0.2">
      <c r="A832" s="5" t="str">
        <f>HYPERLINK("http://www.patentics.cn/invokexml.do?sf=ShowPatent&amp;spn=US9609536&amp;sv=7f43bcd83a30e5387f8e03fdd7165a03","US9609536")</f>
        <v>US9609536</v>
      </c>
      <c r="B832" s="3" t="s">
        <v>3889</v>
      </c>
      <c r="C832" s="3" t="s">
        <v>3890</v>
      </c>
      <c r="D832" s="3" t="s">
        <v>52</v>
      </c>
      <c r="E832" s="3" t="s">
        <v>52</v>
      </c>
      <c r="F832" s="3" t="s">
        <v>3891</v>
      </c>
      <c r="G832" s="3" t="s">
        <v>944</v>
      </c>
      <c r="H832" s="3" t="s">
        <v>0</v>
      </c>
      <c r="I832" s="3" t="s">
        <v>932</v>
      </c>
      <c r="J832" s="3" t="s">
        <v>3892</v>
      </c>
      <c r="K832" s="3" t="s">
        <v>82</v>
      </c>
      <c r="L832" s="3" t="s">
        <v>3795</v>
      </c>
      <c r="M832" s="3" t="s">
        <v>82</v>
      </c>
      <c r="N832" s="3" t="s">
        <v>799</v>
      </c>
      <c r="O832" s="3">
        <v>0</v>
      </c>
      <c r="P832" s="3">
        <v>18</v>
      </c>
      <c r="Q832" s="3" t="s">
        <v>60</v>
      </c>
      <c r="R832" s="3" t="s">
        <v>61</v>
      </c>
      <c r="S832" s="3">
        <v>88</v>
      </c>
      <c r="T832" s="3">
        <v>18</v>
      </c>
      <c r="U832" s="3">
        <v>70</v>
      </c>
      <c r="V832" s="3">
        <v>28</v>
      </c>
      <c r="W832" s="3">
        <v>0</v>
      </c>
      <c r="X832" s="3" t="s">
        <v>147</v>
      </c>
      <c r="Y832" s="3">
        <v>0</v>
      </c>
      <c r="Z832" s="3">
        <v>0</v>
      </c>
      <c r="AA832" s="3">
        <v>0</v>
      </c>
      <c r="AB832" s="3">
        <v>0</v>
      </c>
      <c r="AC832" s="3">
        <v>0</v>
      </c>
      <c r="AD832" s="3">
        <v>0</v>
      </c>
      <c r="AE832" s="3">
        <v>14</v>
      </c>
      <c r="AF832" s="3" t="s">
        <v>0</v>
      </c>
      <c r="AG832" s="3" t="s">
        <v>49</v>
      </c>
    </row>
    <row r="833" spans="1:33" ht="25.5" x14ac:dyDescent="0.2">
      <c r="A833" s="5" t="str">
        <f>HYPERLINK("http://www.patentics.cn/invokexml.do?sf=ShowPatent&amp;spn=CN102090128B&amp;sv=b67143e8f822cfecaffd4db00811feb6","CN102090128B")</f>
        <v>CN102090128B</v>
      </c>
      <c r="B833" s="3" t="s">
        <v>3893</v>
      </c>
      <c r="C833" s="3" t="s">
        <v>3894</v>
      </c>
      <c r="D833" s="3" t="s">
        <v>338</v>
      </c>
      <c r="E833" s="3" t="s">
        <v>338</v>
      </c>
      <c r="F833" s="3" t="s">
        <v>3895</v>
      </c>
      <c r="G833" s="3" t="s">
        <v>3896</v>
      </c>
      <c r="H833" s="3" t="s">
        <v>3084</v>
      </c>
      <c r="I833" s="3" t="s">
        <v>2617</v>
      </c>
      <c r="J833" s="3" t="s">
        <v>3897</v>
      </c>
      <c r="K833" s="3" t="s">
        <v>82</v>
      </c>
      <c r="L833" s="3" t="s">
        <v>318</v>
      </c>
      <c r="M833" s="3" t="s">
        <v>0</v>
      </c>
      <c r="N833" s="3" t="s">
        <v>0</v>
      </c>
      <c r="O833" s="3">
        <v>8</v>
      </c>
      <c r="P833" s="3">
        <v>18</v>
      </c>
      <c r="Q833" s="3" t="s">
        <v>60</v>
      </c>
      <c r="R833" s="3" t="s">
        <v>61</v>
      </c>
      <c r="S833" s="3">
        <v>4</v>
      </c>
      <c r="T833" s="3">
        <v>0</v>
      </c>
      <c r="U833" s="3">
        <v>4</v>
      </c>
      <c r="V833" s="3">
        <v>4</v>
      </c>
      <c r="W833" s="3">
        <v>0</v>
      </c>
      <c r="X833" s="3" t="s">
        <v>147</v>
      </c>
      <c r="Y833" s="3">
        <v>0</v>
      </c>
      <c r="Z833" s="3">
        <v>0</v>
      </c>
      <c r="AA833" s="3">
        <v>0</v>
      </c>
      <c r="AB833" s="3">
        <v>0</v>
      </c>
      <c r="AC833" s="3">
        <v>58</v>
      </c>
      <c r="AD833" s="3">
        <v>19</v>
      </c>
      <c r="AE833" s="3">
        <v>14</v>
      </c>
      <c r="AF833" s="3" t="s">
        <v>0</v>
      </c>
      <c r="AG833" s="3" t="s">
        <v>49</v>
      </c>
    </row>
    <row r="834" spans="1:33" ht="51" x14ac:dyDescent="0.2">
      <c r="A834" s="4" t="str">
        <f>HYPERLINK("http://www.patentics.cn/invokexml.do?sf=ShowPatent&amp;spn=CN101132599&amp;sv=38f78b27e06dc3d8c422548846a49955","CN101132599")</f>
        <v>CN101132599</v>
      </c>
      <c r="B834" s="2" t="s">
        <v>3898</v>
      </c>
      <c r="C834" s="2" t="s">
        <v>3899</v>
      </c>
      <c r="D834" s="2" t="s">
        <v>38</v>
      </c>
      <c r="E834" s="2" t="s">
        <v>38</v>
      </c>
      <c r="F834" s="2" t="s">
        <v>3900</v>
      </c>
      <c r="G834" s="2" t="s">
        <v>3901</v>
      </c>
      <c r="H834" s="2" t="s">
        <v>3902</v>
      </c>
      <c r="I834" s="2" t="s">
        <v>3902</v>
      </c>
      <c r="J834" s="2" t="s">
        <v>3903</v>
      </c>
      <c r="K834" s="2" t="s">
        <v>43</v>
      </c>
      <c r="L834" s="2" t="s">
        <v>44</v>
      </c>
      <c r="M834" s="2" t="s">
        <v>58</v>
      </c>
      <c r="N834" s="2" t="s">
        <v>1785</v>
      </c>
      <c r="O834" s="2">
        <v>7</v>
      </c>
      <c r="P834" s="2">
        <v>30</v>
      </c>
      <c r="Q834" s="2" t="s">
        <v>46</v>
      </c>
      <c r="R834" s="2" t="s">
        <v>47</v>
      </c>
      <c r="S834" s="2">
        <v>0</v>
      </c>
      <c r="T834" s="2">
        <v>0</v>
      </c>
      <c r="U834" s="2">
        <v>0</v>
      </c>
      <c r="V834" s="2">
        <v>0</v>
      </c>
      <c r="W834" s="2">
        <v>9</v>
      </c>
      <c r="X834" s="2" t="s">
        <v>1215</v>
      </c>
      <c r="Y834" s="2">
        <v>1</v>
      </c>
      <c r="Z834" s="2">
        <v>8</v>
      </c>
      <c r="AA834" s="2">
        <v>5</v>
      </c>
      <c r="AB834" s="2">
        <v>3</v>
      </c>
      <c r="AC834" s="2">
        <v>2</v>
      </c>
      <c r="AD834" s="2">
        <v>2</v>
      </c>
      <c r="AE834" s="2" t="s">
        <v>0</v>
      </c>
      <c r="AF834" s="2">
        <v>3</v>
      </c>
      <c r="AG834" s="2" t="s">
        <v>49</v>
      </c>
    </row>
    <row r="835" spans="1:33" ht="89.25" x14ac:dyDescent="0.2">
      <c r="A835" s="5" t="str">
        <f>HYPERLINK("http://www.patentics.cn/invokexml.do?sf=ShowPatent&amp;spn=US8891436&amp;sv=f97afbb8e4803cb860afa47365ed7d57","US8891436")</f>
        <v>US8891436</v>
      </c>
      <c r="B835" s="3" t="s">
        <v>2894</v>
      </c>
      <c r="C835" s="3" t="s">
        <v>2895</v>
      </c>
      <c r="D835" s="3" t="s">
        <v>52</v>
      </c>
      <c r="E835" s="3" t="s">
        <v>52</v>
      </c>
      <c r="F835" s="3" t="s">
        <v>2896</v>
      </c>
      <c r="G835" s="3" t="s">
        <v>2897</v>
      </c>
      <c r="H835" s="3" t="s">
        <v>2898</v>
      </c>
      <c r="I835" s="3" t="s">
        <v>1465</v>
      </c>
      <c r="J835" s="3" t="s">
        <v>1993</v>
      </c>
      <c r="K835" s="3" t="s">
        <v>84</v>
      </c>
      <c r="L835" s="3" t="s">
        <v>114</v>
      </c>
      <c r="M835" s="3" t="s">
        <v>82</v>
      </c>
      <c r="N835" s="3" t="s">
        <v>2899</v>
      </c>
      <c r="O835" s="3">
        <v>0</v>
      </c>
      <c r="P835" s="3">
        <v>11</v>
      </c>
      <c r="Q835" s="3" t="s">
        <v>60</v>
      </c>
      <c r="R835" s="3" t="s">
        <v>47</v>
      </c>
      <c r="S835" s="3">
        <v>10</v>
      </c>
      <c r="T835" s="3">
        <v>2</v>
      </c>
      <c r="U835" s="3">
        <v>8</v>
      </c>
      <c r="V835" s="3">
        <v>6</v>
      </c>
      <c r="W835" s="3">
        <v>1</v>
      </c>
      <c r="X835" s="3" t="s">
        <v>108</v>
      </c>
      <c r="Y835" s="3">
        <v>0</v>
      </c>
      <c r="Z835" s="3">
        <v>1</v>
      </c>
      <c r="AA835" s="3">
        <v>1</v>
      </c>
      <c r="AB835" s="3">
        <v>1</v>
      </c>
      <c r="AC835" s="3">
        <v>3</v>
      </c>
      <c r="AD835" s="3">
        <v>2</v>
      </c>
      <c r="AE835" s="3">
        <v>14</v>
      </c>
      <c r="AF835" s="3" t="s">
        <v>0</v>
      </c>
      <c r="AG835" s="3" t="s">
        <v>49</v>
      </c>
    </row>
    <row r="836" spans="1:33" ht="63.75" x14ac:dyDescent="0.2">
      <c r="A836" s="5" t="str">
        <f>HYPERLINK("http://www.patentics.cn/invokexml.do?sf=ShowPatent&amp;spn=WO2011143826&amp;sv=851104bf17bf450aa2d07e22e1973435","WO2011143826")</f>
        <v>WO2011143826</v>
      </c>
      <c r="B836" s="3" t="s">
        <v>2900</v>
      </c>
      <c r="C836" s="3" t="s">
        <v>2895</v>
      </c>
      <c r="D836" s="3" t="s">
        <v>2901</v>
      </c>
      <c r="E836" s="3" t="s">
        <v>2902</v>
      </c>
      <c r="F836" s="3" t="s">
        <v>2903</v>
      </c>
      <c r="G836" s="3" t="s">
        <v>2904</v>
      </c>
      <c r="H836" s="3" t="s">
        <v>2898</v>
      </c>
      <c r="I836" s="3" t="s">
        <v>2898</v>
      </c>
      <c r="J836" s="3" t="s">
        <v>2905</v>
      </c>
      <c r="K836" s="3" t="s">
        <v>82</v>
      </c>
      <c r="L836" s="3" t="s">
        <v>2297</v>
      </c>
      <c r="M836" s="3" t="s">
        <v>0</v>
      </c>
      <c r="N836" s="3" t="s">
        <v>0</v>
      </c>
      <c r="O836" s="3">
        <v>32</v>
      </c>
      <c r="P836" s="3">
        <v>10</v>
      </c>
      <c r="Q836" s="3" t="s">
        <v>352</v>
      </c>
      <c r="R836" s="3" t="s">
        <v>47</v>
      </c>
      <c r="S836" s="3">
        <v>4</v>
      </c>
      <c r="T836" s="3">
        <v>0</v>
      </c>
      <c r="U836" s="3">
        <v>4</v>
      </c>
      <c r="V836" s="3">
        <v>2</v>
      </c>
      <c r="W836" s="3">
        <v>3</v>
      </c>
      <c r="X836" s="3" t="s">
        <v>2906</v>
      </c>
      <c r="Y836" s="3">
        <v>1</v>
      </c>
      <c r="Z836" s="3">
        <v>2</v>
      </c>
      <c r="AA836" s="3">
        <v>2</v>
      </c>
      <c r="AB836" s="3">
        <v>2</v>
      </c>
      <c r="AC836" s="3">
        <v>3</v>
      </c>
      <c r="AD836" s="3">
        <v>2</v>
      </c>
      <c r="AE836" s="3">
        <v>14</v>
      </c>
      <c r="AF836" s="3" t="s">
        <v>0</v>
      </c>
      <c r="AG836" s="3" t="s">
        <v>0</v>
      </c>
    </row>
    <row r="837" spans="1:33" ht="63.75" x14ac:dyDescent="0.2">
      <c r="A837" s="5" t="str">
        <f>HYPERLINK("http://www.patentics.cn/invokexml.do?sf=ShowPatent&amp;spn=WO2012071726&amp;sv=d1ddeb0d10a29156b55c977101fa7749","WO2012071726")</f>
        <v>WO2012071726</v>
      </c>
      <c r="B837" s="3" t="s">
        <v>2909</v>
      </c>
      <c r="C837" s="3" t="s">
        <v>2910</v>
      </c>
      <c r="D837" s="3" t="s">
        <v>2911</v>
      </c>
      <c r="E837" s="3" t="s">
        <v>2912</v>
      </c>
      <c r="F837" s="3" t="s">
        <v>2913</v>
      </c>
      <c r="G837" s="3" t="s">
        <v>2904</v>
      </c>
      <c r="H837" s="3" t="s">
        <v>2914</v>
      </c>
      <c r="I837" s="3" t="s">
        <v>2914</v>
      </c>
      <c r="J837" s="3" t="s">
        <v>2915</v>
      </c>
      <c r="K837" s="3" t="s">
        <v>82</v>
      </c>
      <c r="L837" s="3" t="s">
        <v>2712</v>
      </c>
      <c r="M837" s="3" t="s">
        <v>0</v>
      </c>
      <c r="N837" s="3" t="s">
        <v>0</v>
      </c>
      <c r="O837" s="3">
        <v>87</v>
      </c>
      <c r="P837" s="3">
        <v>6</v>
      </c>
      <c r="Q837" s="3" t="s">
        <v>352</v>
      </c>
      <c r="R837" s="3" t="s">
        <v>47</v>
      </c>
      <c r="S837" s="3">
        <v>2</v>
      </c>
      <c r="T837" s="3">
        <v>0</v>
      </c>
      <c r="U837" s="3">
        <v>2</v>
      </c>
      <c r="V837" s="3">
        <v>1</v>
      </c>
      <c r="W837" s="3">
        <v>3</v>
      </c>
      <c r="X837" s="3" t="s">
        <v>2120</v>
      </c>
      <c r="Y837" s="3">
        <v>3</v>
      </c>
      <c r="Z837" s="3">
        <v>0</v>
      </c>
      <c r="AA837" s="3">
        <v>1</v>
      </c>
      <c r="AB837" s="3">
        <v>2</v>
      </c>
      <c r="AC837" s="3">
        <v>2</v>
      </c>
      <c r="AD837" s="3">
        <v>3</v>
      </c>
      <c r="AE837" s="3">
        <v>14</v>
      </c>
      <c r="AF837" s="3" t="s">
        <v>0</v>
      </c>
      <c r="AG837" s="3" t="s">
        <v>0</v>
      </c>
    </row>
    <row r="838" spans="1:33" ht="25.5" x14ac:dyDescent="0.2">
      <c r="A838" s="4" t="str">
        <f>HYPERLINK("http://www.patentics.cn/invokexml.do?sf=ShowPatent&amp;spn=CN101119152&amp;sv=8ae182ed3085118b50f6f895e9e302de","CN101119152")</f>
        <v>CN101119152</v>
      </c>
      <c r="B838" s="2" t="s">
        <v>3904</v>
      </c>
      <c r="C838" s="2" t="s">
        <v>3905</v>
      </c>
      <c r="D838" s="2" t="s">
        <v>3906</v>
      </c>
      <c r="E838" s="2" t="s">
        <v>38</v>
      </c>
      <c r="F838" s="2" t="s">
        <v>3907</v>
      </c>
      <c r="G838" s="2" t="s">
        <v>3907</v>
      </c>
      <c r="H838" s="2" t="s">
        <v>3908</v>
      </c>
      <c r="I838" s="2" t="s">
        <v>3908</v>
      </c>
      <c r="J838" s="2" t="s">
        <v>3909</v>
      </c>
      <c r="K838" s="2" t="s">
        <v>84</v>
      </c>
      <c r="L838" s="2" t="s">
        <v>3910</v>
      </c>
      <c r="M838" s="2" t="s">
        <v>43</v>
      </c>
      <c r="N838" s="2" t="s">
        <v>1824</v>
      </c>
      <c r="O838" s="2">
        <v>9</v>
      </c>
      <c r="P838" s="2">
        <v>12</v>
      </c>
      <c r="Q838" s="2" t="s">
        <v>46</v>
      </c>
      <c r="R838" s="2" t="s">
        <v>47</v>
      </c>
      <c r="S838" s="2">
        <v>0</v>
      </c>
      <c r="T838" s="2">
        <v>0</v>
      </c>
      <c r="U838" s="2">
        <v>0</v>
      </c>
      <c r="V838" s="2">
        <v>0</v>
      </c>
      <c r="W838" s="2">
        <v>7</v>
      </c>
      <c r="X838" s="2" t="s">
        <v>3911</v>
      </c>
      <c r="Y838" s="2">
        <v>0</v>
      </c>
      <c r="Z838" s="2">
        <v>7</v>
      </c>
      <c r="AA838" s="2">
        <v>4</v>
      </c>
      <c r="AB838" s="2">
        <v>3</v>
      </c>
      <c r="AC838" s="2">
        <v>1</v>
      </c>
      <c r="AD838" s="2">
        <v>1</v>
      </c>
      <c r="AE838" s="2" t="s">
        <v>0</v>
      </c>
      <c r="AF838" s="2">
        <v>3</v>
      </c>
      <c r="AG838" s="2" t="s">
        <v>49</v>
      </c>
    </row>
    <row r="839" spans="1:33" ht="89.25" x14ac:dyDescent="0.2">
      <c r="A839" s="5" t="str">
        <f>HYPERLINK("http://www.patentics.cn/invokexml.do?sf=ShowPatent&amp;spn=US8526442&amp;sv=593cb4fbfa21e0256f0b05455c30c1d9","US8526442")</f>
        <v>US8526442</v>
      </c>
      <c r="B839" s="3" t="s">
        <v>3845</v>
      </c>
      <c r="C839" s="3" t="s">
        <v>3846</v>
      </c>
      <c r="D839" s="3" t="s">
        <v>52</v>
      </c>
      <c r="E839" s="3" t="s">
        <v>52</v>
      </c>
      <c r="F839" s="3" t="s">
        <v>3847</v>
      </c>
      <c r="G839" s="3" t="s">
        <v>790</v>
      </c>
      <c r="H839" s="3" t="s">
        <v>3848</v>
      </c>
      <c r="I839" s="3" t="s">
        <v>3848</v>
      </c>
      <c r="J839" s="3" t="s">
        <v>3849</v>
      </c>
      <c r="K839" s="3" t="s">
        <v>58</v>
      </c>
      <c r="L839" s="3" t="s">
        <v>289</v>
      </c>
      <c r="M839" s="3" t="s">
        <v>82</v>
      </c>
      <c r="N839" s="3" t="s">
        <v>3850</v>
      </c>
      <c r="O839" s="3">
        <v>0</v>
      </c>
      <c r="P839" s="3">
        <v>13</v>
      </c>
      <c r="Q839" s="3" t="s">
        <v>60</v>
      </c>
      <c r="R839" s="3" t="s">
        <v>61</v>
      </c>
      <c r="S839" s="3">
        <v>48</v>
      </c>
      <c r="T839" s="3">
        <v>7</v>
      </c>
      <c r="U839" s="3">
        <v>41</v>
      </c>
      <c r="V839" s="3">
        <v>26</v>
      </c>
      <c r="W839" s="3">
        <v>1</v>
      </c>
      <c r="X839" s="3" t="s">
        <v>1232</v>
      </c>
      <c r="Y839" s="3">
        <v>0</v>
      </c>
      <c r="Z839" s="3">
        <v>1</v>
      </c>
      <c r="AA839" s="3">
        <v>1</v>
      </c>
      <c r="AB839" s="3">
        <v>1</v>
      </c>
      <c r="AC839" s="3">
        <v>10</v>
      </c>
      <c r="AD839" s="3">
        <v>7</v>
      </c>
      <c r="AE839" s="3">
        <v>14</v>
      </c>
      <c r="AF839" s="3" t="s">
        <v>0</v>
      </c>
      <c r="AG839" s="3" t="s">
        <v>49</v>
      </c>
    </row>
    <row r="840" spans="1:33" ht="89.25" x14ac:dyDescent="0.2">
      <c r="A840" s="5" t="str">
        <f>HYPERLINK("http://www.patentics.cn/invokexml.do?sf=ShowPatent&amp;spn=US9084231&amp;sv=7fe110bc81ffb7cc422384a0b2b3dda6","US9084231")</f>
        <v>US9084231</v>
      </c>
      <c r="B840" s="3" t="s">
        <v>3851</v>
      </c>
      <c r="C840" s="3" t="s">
        <v>3852</v>
      </c>
      <c r="D840" s="3" t="s">
        <v>52</v>
      </c>
      <c r="E840" s="3" t="s">
        <v>52</v>
      </c>
      <c r="F840" s="3" t="s">
        <v>3847</v>
      </c>
      <c r="G840" s="3" t="s">
        <v>790</v>
      </c>
      <c r="H840" s="3" t="s">
        <v>3848</v>
      </c>
      <c r="I840" s="3" t="s">
        <v>3848</v>
      </c>
      <c r="J840" s="3" t="s">
        <v>2926</v>
      </c>
      <c r="K840" s="3" t="s">
        <v>82</v>
      </c>
      <c r="L840" s="3" t="s">
        <v>83</v>
      </c>
      <c r="M840" s="3" t="s">
        <v>0</v>
      </c>
      <c r="N840" s="3" t="s">
        <v>0</v>
      </c>
      <c r="O840" s="3">
        <v>0</v>
      </c>
      <c r="P840" s="3">
        <v>9</v>
      </c>
      <c r="Q840" s="3" t="s">
        <v>60</v>
      </c>
      <c r="R840" s="3" t="s">
        <v>61</v>
      </c>
      <c r="S840" s="3">
        <v>64</v>
      </c>
      <c r="T840" s="3">
        <v>7</v>
      </c>
      <c r="U840" s="3">
        <v>57</v>
      </c>
      <c r="V840" s="3">
        <v>31</v>
      </c>
      <c r="W840" s="3">
        <v>0</v>
      </c>
      <c r="X840" s="3" t="s">
        <v>147</v>
      </c>
      <c r="Y840" s="3">
        <v>0</v>
      </c>
      <c r="Z840" s="3">
        <v>0</v>
      </c>
      <c r="AA840" s="3">
        <v>0</v>
      </c>
      <c r="AB840" s="3">
        <v>0</v>
      </c>
      <c r="AC840" s="3">
        <v>11</v>
      </c>
      <c r="AD840" s="3">
        <v>7</v>
      </c>
      <c r="AE840" s="3">
        <v>14</v>
      </c>
      <c r="AF840" s="3" t="s">
        <v>0</v>
      </c>
      <c r="AG840" s="3" t="s">
        <v>49</v>
      </c>
    </row>
    <row r="841" spans="1:33" ht="51" x14ac:dyDescent="0.2">
      <c r="A841" s="5" t="str">
        <f>HYPERLINK("http://www.patentics.cn/invokexml.do?sf=ShowPatent&amp;spn=CN101971689B&amp;sv=ce3308a7fc8cadc47efcd23a5d0c7d01","CN101971689B")</f>
        <v>CN101971689B</v>
      </c>
      <c r="B841" s="3" t="s">
        <v>3912</v>
      </c>
      <c r="C841" s="3" t="s">
        <v>3913</v>
      </c>
      <c r="D841" s="3" t="s">
        <v>338</v>
      </c>
      <c r="E841" s="3" t="s">
        <v>338</v>
      </c>
      <c r="F841" s="3" t="s">
        <v>3855</v>
      </c>
      <c r="G841" s="3" t="s">
        <v>3856</v>
      </c>
      <c r="H841" s="3" t="s">
        <v>3848</v>
      </c>
      <c r="I841" s="3" t="s">
        <v>3857</v>
      </c>
      <c r="J841" s="3" t="s">
        <v>3914</v>
      </c>
      <c r="K841" s="3" t="s">
        <v>82</v>
      </c>
      <c r="L841" s="3" t="s">
        <v>1310</v>
      </c>
      <c r="M841" s="3" t="s">
        <v>0</v>
      </c>
      <c r="N841" s="3" t="s">
        <v>0</v>
      </c>
      <c r="O841" s="3">
        <v>27</v>
      </c>
      <c r="P841" s="3">
        <v>12</v>
      </c>
      <c r="Q841" s="3" t="s">
        <v>60</v>
      </c>
      <c r="R841" s="3" t="s">
        <v>61</v>
      </c>
      <c r="S841" s="3">
        <v>4</v>
      </c>
      <c r="T841" s="3">
        <v>0</v>
      </c>
      <c r="U841" s="3">
        <v>4</v>
      </c>
      <c r="V841" s="3">
        <v>4</v>
      </c>
      <c r="W841" s="3">
        <v>0</v>
      </c>
      <c r="X841" s="3" t="s">
        <v>147</v>
      </c>
      <c r="Y841" s="3">
        <v>0</v>
      </c>
      <c r="Z841" s="3">
        <v>0</v>
      </c>
      <c r="AA841" s="3">
        <v>0</v>
      </c>
      <c r="AB841" s="3">
        <v>0</v>
      </c>
      <c r="AC841" s="3">
        <v>10</v>
      </c>
      <c r="AD841" s="3">
        <v>7</v>
      </c>
      <c r="AE841" s="3">
        <v>14</v>
      </c>
      <c r="AF841" s="3" t="s">
        <v>0</v>
      </c>
      <c r="AG841" s="3" t="s">
        <v>49</v>
      </c>
    </row>
    <row r="842" spans="1:33" ht="25.5" x14ac:dyDescent="0.2">
      <c r="A842" s="4" t="str">
        <f>HYPERLINK("http://www.patentics.cn/invokexml.do?sf=ShowPatent&amp;spn=CN101094225&amp;sv=c42f9f151ad6395db02a95260384f4d0","CN101094225")</f>
        <v>CN101094225</v>
      </c>
      <c r="B842" s="2" t="s">
        <v>3915</v>
      </c>
      <c r="C842" s="2" t="s">
        <v>3916</v>
      </c>
      <c r="D842" s="2" t="s">
        <v>38</v>
      </c>
      <c r="E842" s="2" t="s">
        <v>38</v>
      </c>
      <c r="F842" s="2" t="s">
        <v>3917</v>
      </c>
      <c r="G842" s="2" t="s">
        <v>3918</v>
      </c>
      <c r="H842" s="2" t="s">
        <v>3919</v>
      </c>
      <c r="I842" s="2" t="s">
        <v>3919</v>
      </c>
      <c r="J842" s="2" t="s">
        <v>3920</v>
      </c>
      <c r="K842" s="2" t="s">
        <v>58</v>
      </c>
      <c r="L842" s="2" t="s">
        <v>722</v>
      </c>
      <c r="M842" s="2" t="s">
        <v>58</v>
      </c>
      <c r="N842" s="2" t="s">
        <v>3921</v>
      </c>
      <c r="O842" s="2">
        <v>22</v>
      </c>
      <c r="P842" s="2">
        <v>12</v>
      </c>
      <c r="Q842" s="2" t="s">
        <v>46</v>
      </c>
      <c r="R842" s="2" t="s">
        <v>47</v>
      </c>
      <c r="S842" s="2">
        <v>0</v>
      </c>
      <c r="T842" s="2">
        <v>0</v>
      </c>
      <c r="U842" s="2">
        <v>0</v>
      </c>
      <c r="V842" s="2">
        <v>0</v>
      </c>
      <c r="W842" s="2">
        <v>24</v>
      </c>
      <c r="X842" s="2" t="s">
        <v>3922</v>
      </c>
      <c r="Y842" s="2">
        <v>1</v>
      </c>
      <c r="Z842" s="2">
        <v>23</v>
      </c>
      <c r="AA842" s="2">
        <v>6</v>
      </c>
      <c r="AB842" s="2">
        <v>2</v>
      </c>
      <c r="AC842" s="2">
        <v>1</v>
      </c>
      <c r="AD842" s="2">
        <v>1</v>
      </c>
      <c r="AE842" s="2" t="s">
        <v>0</v>
      </c>
      <c r="AF842" s="2">
        <v>3</v>
      </c>
      <c r="AG842" s="2" t="s">
        <v>49</v>
      </c>
    </row>
    <row r="843" spans="1:33" ht="38.25" x14ac:dyDescent="0.2">
      <c r="A843" s="5" t="str">
        <f>HYPERLINK("http://www.patentics.cn/invokexml.do?sf=ShowPatent&amp;spn=US9197706&amp;sv=bd5b98cafb1767f258063ab4f5a59f2a","US9197706")</f>
        <v>US9197706</v>
      </c>
      <c r="B843" s="3" t="s">
        <v>3923</v>
      </c>
      <c r="C843" s="3" t="s">
        <v>3924</v>
      </c>
      <c r="D843" s="3" t="s">
        <v>52</v>
      </c>
      <c r="E843" s="3" t="s">
        <v>52</v>
      </c>
      <c r="F843" s="3" t="s">
        <v>3925</v>
      </c>
      <c r="G843" s="3" t="s">
        <v>3925</v>
      </c>
      <c r="H843" s="3" t="s">
        <v>3926</v>
      </c>
      <c r="I843" s="3" t="s">
        <v>3927</v>
      </c>
      <c r="J843" s="3" t="s">
        <v>1856</v>
      </c>
      <c r="K843" s="3" t="s">
        <v>1718</v>
      </c>
      <c r="L843" s="3" t="s">
        <v>3928</v>
      </c>
      <c r="M843" s="3" t="s">
        <v>58</v>
      </c>
      <c r="N843" s="3" t="s">
        <v>3929</v>
      </c>
      <c r="O843" s="3">
        <v>0</v>
      </c>
      <c r="P843" s="3">
        <v>12</v>
      </c>
      <c r="Q843" s="3" t="s">
        <v>60</v>
      </c>
      <c r="R843" s="3" t="s">
        <v>61</v>
      </c>
      <c r="S843" s="3">
        <v>88</v>
      </c>
      <c r="T843" s="3">
        <v>1</v>
      </c>
      <c r="U843" s="3">
        <v>87</v>
      </c>
      <c r="V843" s="3">
        <v>47</v>
      </c>
      <c r="W843" s="3">
        <v>24</v>
      </c>
      <c r="X843" s="3" t="s">
        <v>147</v>
      </c>
      <c r="Y843" s="3">
        <v>0</v>
      </c>
      <c r="Z843" s="3">
        <v>24</v>
      </c>
      <c r="AA843" s="3">
        <v>0</v>
      </c>
      <c r="AB843" s="3">
        <v>1</v>
      </c>
      <c r="AC843" s="3">
        <v>38</v>
      </c>
      <c r="AD843" s="3">
        <v>14</v>
      </c>
      <c r="AE843" s="3">
        <v>14</v>
      </c>
      <c r="AF843" s="3" t="s">
        <v>0</v>
      </c>
      <c r="AG843" s="3" t="s">
        <v>49</v>
      </c>
    </row>
    <row r="844" spans="1:33" ht="114.75" x14ac:dyDescent="0.2">
      <c r="A844" s="5" t="str">
        <f>HYPERLINK("http://www.patentics.cn/invokexml.do?sf=ShowPatent&amp;spn=US9288230&amp;sv=c739cdb24e97a65f6635570161775052","US9288230")</f>
        <v>US9288230</v>
      </c>
      <c r="B844" s="3" t="s">
        <v>3930</v>
      </c>
      <c r="C844" s="3" t="s">
        <v>3931</v>
      </c>
      <c r="D844" s="3" t="s">
        <v>52</v>
      </c>
      <c r="E844" s="3" t="s">
        <v>52</v>
      </c>
      <c r="F844" s="3" t="s">
        <v>3932</v>
      </c>
      <c r="G844" s="3" t="s">
        <v>3933</v>
      </c>
      <c r="H844" s="3" t="s">
        <v>3934</v>
      </c>
      <c r="I844" s="3" t="s">
        <v>3935</v>
      </c>
      <c r="J844" s="3" t="s">
        <v>689</v>
      </c>
      <c r="K844" s="3" t="s">
        <v>555</v>
      </c>
      <c r="L844" s="3" t="s">
        <v>556</v>
      </c>
      <c r="M844" s="3" t="s">
        <v>58</v>
      </c>
      <c r="N844" s="3" t="s">
        <v>2935</v>
      </c>
      <c r="O844" s="3">
        <v>0</v>
      </c>
      <c r="P844" s="3">
        <v>7</v>
      </c>
      <c r="Q844" s="3" t="s">
        <v>60</v>
      </c>
      <c r="R844" s="3" t="s">
        <v>61</v>
      </c>
      <c r="S844" s="3">
        <v>111</v>
      </c>
      <c r="T844" s="3">
        <v>1</v>
      </c>
      <c r="U844" s="3">
        <v>110</v>
      </c>
      <c r="V844" s="3">
        <v>55</v>
      </c>
      <c r="W844" s="3">
        <v>0</v>
      </c>
      <c r="X844" s="3" t="s">
        <v>147</v>
      </c>
      <c r="Y844" s="3">
        <v>0</v>
      </c>
      <c r="Z844" s="3">
        <v>0</v>
      </c>
      <c r="AA844" s="3">
        <v>0</v>
      </c>
      <c r="AB844" s="3">
        <v>0</v>
      </c>
      <c r="AC844" s="3">
        <v>8</v>
      </c>
      <c r="AD844" s="3">
        <v>6</v>
      </c>
      <c r="AE844" s="3">
        <v>14</v>
      </c>
      <c r="AF844" s="3" t="s">
        <v>0</v>
      </c>
      <c r="AG844" s="3" t="s">
        <v>49</v>
      </c>
    </row>
    <row r="845" spans="1:33" ht="89.25" x14ac:dyDescent="0.2">
      <c r="A845" s="5" t="str">
        <f>HYPERLINK("http://www.patentics.cn/invokexml.do?sf=ShowPatent&amp;spn=CN102301674B&amp;sv=40182d8b8219cc85a1c8735be4d85a76","CN102301674B")</f>
        <v>CN102301674B</v>
      </c>
      <c r="B845" s="3" t="s">
        <v>3936</v>
      </c>
      <c r="C845" s="3" t="s">
        <v>3937</v>
      </c>
      <c r="D845" s="3" t="s">
        <v>338</v>
      </c>
      <c r="E845" s="3" t="s">
        <v>338</v>
      </c>
      <c r="F845" s="3" t="s">
        <v>3938</v>
      </c>
      <c r="G845" s="3" t="s">
        <v>3939</v>
      </c>
      <c r="H845" s="3" t="s">
        <v>3926</v>
      </c>
      <c r="I845" s="3" t="s">
        <v>3940</v>
      </c>
      <c r="J845" s="3" t="s">
        <v>2177</v>
      </c>
      <c r="K845" s="3" t="s">
        <v>58</v>
      </c>
      <c r="L845" s="3" t="s">
        <v>722</v>
      </c>
      <c r="M845" s="3" t="s">
        <v>0</v>
      </c>
      <c r="N845" s="3" t="s">
        <v>0</v>
      </c>
      <c r="O845" s="3">
        <v>35</v>
      </c>
      <c r="P845" s="3">
        <v>11</v>
      </c>
      <c r="Q845" s="3" t="s">
        <v>60</v>
      </c>
      <c r="R845" s="3" t="s">
        <v>61</v>
      </c>
      <c r="S845" s="3">
        <v>5</v>
      </c>
      <c r="T845" s="3">
        <v>0</v>
      </c>
      <c r="U845" s="3">
        <v>5</v>
      </c>
      <c r="V845" s="3">
        <v>5</v>
      </c>
      <c r="W845" s="3">
        <v>24</v>
      </c>
      <c r="X845" s="3" t="s">
        <v>147</v>
      </c>
      <c r="Y845" s="3">
        <v>0</v>
      </c>
      <c r="Z845" s="3">
        <v>24</v>
      </c>
      <c r="AA845" s="3">
        <v>0</v>
      </c>
      <c r="AB845" s="3">
        <v>1</v>
      </c>
      <c r="AC845" s="3">
        <v>0</v>
      </c>
      <c r="AD845" s="3">
        <v>0</v>
      </c>
      <c r="AE845" s="3">
        <v>14</v>
      </c>
      <c r="AF845" s="3" t="s">
        <v>0</v>
      </c>
      <c r="AG845" s="3" t="s">
        <v>49</v>
      </c>
    </row>
    <row r="846" spans="1:33" x14ac:dyDescent="0.2">
      <c r="A846" s="4" t="str">
        <f>HYPERLINK("http://www.patentics.cn/invokexml.do?sf=ShowPatent&amp;spn=CN101072413&amp;sv=00014a38cd6a4299b05eda645f254879","CN101072413")</f>
        <v>CN101072413</v>
      </c>
      <c r="B846" s="2" t="s">
        <v>3941</v>
      </c>
      <c r="C846" s="2" t="s">
        <v>3942</v>
      </c>
      <c r="D846" s="2" t="s">
        <v>38</v>
      </c>
      <c r="E846" s="2" t="s">
        <v>38</v>
      </c>
      <c r="F846" s="2" t="s">
        <v>3943</v>
      </c>
      <c r="G846" s="2" t="s">
        <v>3943</v>
      </c>
      <c r="H846" s="2" t="s">
        <v>3944</v>
      </c>
      <c r="I846" s="2" t="s">
        <v>1298</v>
      </c>
      <c r="J846" s="2" t="s">
        <v>3945</v>
      </c>
      <c r="K846" s="2" t="s">
        <v>43</v>
      </c>
      <c r="L846" s="2" t="s">
        <v>2062</v>
      </c>
      <c r="M846" s="2" t="s">
        <v>84</v>
      </c>
      <c r="N846" s="2" t="s">
        <v>3946</v>
      </c>
      <c r="O846" s="2">
        <v>10</v>
      </c>
      <c r="P846" s="2">
        <v>11</v>
      </c>
      <c r="Q846" s="2" t="s">
        <v>46</v>
      </c>
      <c r="R846" s="2" t="s">
        <v>47</v>
      </c>
      <c r="S846" s="2">
        <v>0</v>
      </c>
      <c r="T846" s="2">
        <v>0</v>
      </c>
      <c r="U846" s="2">
        <v>0</v>
      </c>
      <c r="V846" s="2">
        <v>0</v>
      </c>
      <c r="W846" s="2">
        <v>8</v>
      </c>
      <c r="X846" s="2" t="s">
        <v>3947</v>
      </c>
      <c r="Y846" s="2">
        <v>0</v>
      </c>
      <c r="Z846" s="2">
        <v>8</v>
      </c>
      <c r="AA846" s="2">
        <v>3</v>
      </c>
      <c r="AB846" s="2">
        <v>3</v>
      </c>
      <c r="AC846" s="2">
        <v>0</v>
      </c>
      <c r="AD846" s="2">
        <v>0</v>
      </c>
      <c r="AE846" s="2" t="s">
        <v>0</v>
      </c>
      <c r="AF846" s="2">
        <v>3</v>
      </c>
      <c r="AG846" s="2" t="s">
        <v>547</v>
      </c>
    </row>
    <row r="847" spans="1:33" ht="89.25" x14ac:dyDescent="0.2">
      <c r="A847" s="5" t="str">
        <f>HYPERLINK("http://www.patentics.cn/invokexml.do?sf=ShowPatent&amp;spn=US8918062&amp;sv=c240722a5acebaffe46b655123d06520","US8918062")</f>
        <v>US8918062</v>
      </c>
      <c r="B847" s="3" t="s">
        <v>3948</v>
      </c>
      <c r="C847" s="3" t="s">
        <v>3949</v>
      </c>
      <c r="D847" s="3" t="s">
        <v>52</v>
      </c>
      <c r="E847" s="3" t="s">
        <v>52</v>
      </c>
      <c r="F847" s="3" t="s">
        <v>3950</v>
      </c>
      <c r="G847" s="3" t="s">
        <v>3951</v>
      </c>
      <c r="H847" s="3" t="s">
        <v>3952</v>
      </c>
      <c r="I847" s="3" t="s">
        <v>3953</v>
      </c>
      <c r="J847" s="3" t="s">
        <v>203</v>
      </c>
      <c r="K847" s="3" t="s">
        <v>84</v>
      </c>
      <c r="L847" s="3" t="s">
        <v>3954</v>
      </c>
      <c r="M847" s="3" t="s">
        <v>84</v>
      </c>
      <c r="N847" s="3" t="s">
        <v>3955</v>
      </c>
      <c r="O847" s="3">
        <v>0</v>
      </c>
      <c r="P847" s="3">
        <v>11</v>
      </c>
      <c r="Q847" s="3" t="s">
        <v>60</v>
      </c>
      <c r="R847" s="3" t="s">
        <v>61</v>
      </c>
      <c r="S847" s="3">
        <v>48</v>
      </c>
      <c r="T847" s="3">
        <v>8</v>
      </c>
      <c r="U847" s="3">
        <v>40</v>
      </c>
      <c r="V847" s="3">
        <v>20</v>
      </c>
      <c r="W847" s="3">
        <v>1</v>
      </c>
      <c r="X847" s="3" t="s">
        <v>108</v>
      </c>
      <c r="Y847" s="3">
        <v>0</v>
      </c>
      <c r="Z847" s="3">
        <v>1</v>
      </c>
      <c r="AA847" s="3">
        <v>1</v>
      </c>
      <c r="AB847" s="3">
        <v>1</v>
      </c>
      <c r="AC847" s="3">
        <v>12</v>
      </c>
      <c r="AD847" s="3">
        <v>6</v>
      </c>
      <c r="AE847" s="3">
        <v>14</v>
      </c>
      <c r="AF847" s="3" t="s">
        <v>0</v>
      </c>
      <c r="AG847" s="3" t="s">
        <v>49</v>
      </c>
    </row>
    <row r="848" spans="1:33" ht="89.25" x14ac:dyDescent="0.2">
      <c r="A848" s="5" t="str">
        <f>HYPERLINK("http://www.patentics.cn/invokexml.do?sf=ShowPatent&amp;spn=US9236929&amp;sv=ae0c7423fcb9b6a484605041deee553c","US9236929")</f>
        <v>US9236929</v>
      </c>
      <c r="B848" s="3" t="s">
        <v>3956</v>
      </c>
      <c r="C848" s="3" t="s">
        <v>3949</v>
      </c>
      <c r="D848" s="3" t="s">
        <v>52</v>
      </c>
      <c r="E848" s="3" t="s">
        <v>52</v>
      </c>
      <c r="F848" s="3" t="s">
        <v>3950</v>
      </c>
      <c r="G848" s="3" t="s">
        <v>3951</v>
      </c>
      <c r="H848" s="3" t="s">
        <v>3952</v>
      </c>
      <c r="I848" s="3" t="s">
        <v>3957</v>
      </c>
      <c r="J848" s="3" t="s">
        <v>623</v>
      </c>
      <c r="K848" s="3" t="s">
        <v>84</v>
      </c>
      <c r="L848" s="3" t="s">
        <v>3954</v>
      </c>
      <c r="M848" s="3" t="s">
        <v>84</v>
      </c>
      <c r="N848" s="3" t="s">
        <v>3955</v>
      </c>
      <c r="O848" s="3">
        <v>0</v>
      </c>
      <c r="P848" s="3">
        <v>8</v>
      </c>
      <c r="Q848" s="3" t="s">
        <v>60</v>
      </c>
      <c r="R848" s="3" t="s">
        <v>61</v>
      </c>
      <c r="S848" s="3">
        <v>62</v>
      </c>
      <c r="T848" s="3">
        <v>11</v>
      </c>
      <c r="U848" s="3">
        <v>51</v>
      </c>
      <c r="V848" s="3">
        <v>26</v>
      </c>
      <c r="W848" s="3">
        <v>1</v>
      </c>
      <c r="X848" s="3" t="s">
        <v>108</v>
      </c>
      <c r="Y848" s="3">
        <v>0</v>
      </c>
      <c r="Z848" s="3">
        <v>1</v>
      </c>
      <c r="AA848" s="3">
        <v>1</v>
      </c>
      <c r="AB848" s="3">
        <v>1</v>
      </c>
      <c r="AC848" s="3">
        <v>12</v>
      </c>
      <c r="AD848" s="3">
        <v>6</v>
      </c>
      <c r="AE848" s="3">
        <v>14</v>
      </c>
      <c r="AF848" s="3" t="s">
        <v>0</v>
      </c>
      <c r="AG848" s="3" t="s">
        <v>49</v>
      </c>
    </row>
    <row r="849" spans="1:33" ht="51" x14ac:dyDescent="0.2">
      <c r="A849" s="5" t="str">
        <f>HYPERLINK("http://www.patentics.cn/invokexml.do?sf=ShowPatent&amp;spn=CN102656818B&amp;sv=3871de3f061b2291bcdf8aa2dbd90745","CN102656818B")</f>
        <v>CN102656818B</v>
      </c>
      <c r="B849" s="3" t="s">
        <v>3958</v>
      </c>
      <c r="C849" s="3" t="s">
        <v>3959</v>
      </c>
      <c r="D849" s="3" t="s">
        <v>338</v>
      </c>
      <c r="E849" s="3" t="s">
        <v>338</v>
      </c>
      <c r="F849" s="3" t="s">
        <v>3960</v>
      </c>
      <c r="G849" s="3" t="s">
        <v>3961</v>
      </c>
      <c r="H849" s="3" t="s">
        <v>3952</v>
      </c>
      <c r="I849" s="3" t="s">
        <v>3962</v>
      </c>
      <c r="J849" s="3" t="s">
        <v>3963</v>
      </c>
      <c r="K849" s="3" t="s">
        <v>84</v>
      </c>
      <c r="L849" s="3" t="s">
        <v>343</v>
      </c>
      <c r="M849" s="3" t="s">
        <v>0</v>
      </c>
      <c r="N849" s="3" t="s">
        <v>0</v>
      </c>
      <c r="O849" s="3">
        <v>45</v>
      </c>
      <c r="P849" s="3">
        <v>18</v>
      </c>
      <c r="Q849" s="3" t="s">
        <v>60</v>
      </c>
      <c r="R849" s="3" t="s">
        <v>61</v>
      </c>
      <c r="S849" s="3">
        <v>3</v>
      </c>
      <c r="T849" s="3">
        <v>0</v>
      </c>
      <c r="U849" s="3">
        <v>3</v>
      </c>
      <c r="V849" s="3">
        <v>3</v>
      </c>
      <c r="W849" s="3">
        <v>0</v>
      </c>
      <c r="X849" s="3" t="s">
        <v>147</v>
      </c>
      <c r="Y849" s="3">
        <v>0</v>
      </c>
      <c r="Z849" s="3">
        <v>0</v>
      </c>
      <c r="AA849" s="3">
        <v>0</v>
      </c>
      <c r="AB849" s="3">
        <v>0</v>
      </c>
      <c r="AC849" s="3">
        <v>12</v>
      </c>
      <c r="AD849" s="3">
        <v>6</v>
      </c>
      <c r="AE849" s="3">
        <v>14</v>
      </c>
      <c r="AF849" s="3" t="s">
        <v>0</v>
      </c>
      <c r="AG849" s="3" t="s">
        <v>49</v>
      </c>
    </row>
    <row r="850" spans="1:33" x14ac:dyDescent="0.2">
      <c r="A850" s="4" t="str">
        <f>HYPERLINK("http://www.patentics.cn/invokexml.do?sf=ShowPatent&amp;spn=CN101009920&amp;sv=d49e2fd7f7134b3ec982e0b1476a85d5","CN101009920")</f>
        <v>CN101009920</v>
      </c>
      <c r="B850" s="2" t="s">
        <v>3964</v>
      </c>
      <c r="C850" s="2" t="s">
        <v>3965</v>
      </c>
      <c r="D850" s="2" t="s">
        <v>38</v>
      </c>
      <c r="E850" s="2" t="s">
        <v>38</v>
      </c>
      <c r="F850" s="2" t="s">
        <v>3966</v>
      </c>
      <c r="G850" s="2" t="s">
        <v>3966</v>
      </c>
      <c r="H850" s="2" t="s">
        <v>0</v>
      </c>
      <c r="I850" s="2" t="s">
        <v>3967</v>
      </c>
      <c r="J850" s="2" t="s">
        <v>3565</v>
      </c>
      <c r="K850" s="2" t="s">
        <v>43</v>
      </c>
      <c r="L850" s="2" t="s">
        <v>2591</v>
      </c>
      <c r="M850" s="2" t="s">
        <v>43</v>
      </c>
      <c r="N850" s="2" t="s">
        <v>3004</v>
      </c>
      <c r="O850" s="2">
        <v>12</v>
      </c>
      <c r="P850" s="2">
        <v>13</v>
      </c>
      <c r="Q850" s="2" t="s">
        <v>46</v>
      </c>
      <c r="R850" s="2" t="s">
        <v>47</v>
      </c>
      <c r="S850" s="2">
        <v>1</v>
      </c>
      <c r="T850" s="2">
        <v>0</v>
      </c>
      <c r="U850" s="2">
        <v>1</v>
      </c>
      <c r="V850" s="2">
        <v>1</v>
      </c>
      <c r="W850" s="2">
        <v>4</v>
      </c>
      <c r="X850" s="2" t="s">
        <v>3692</v>
      </c>
      <c r="Y850" s="2">
        <v>0</v>
      </c>
      <c r="Z850" s="2">
        <v>4</v>
      </c>
      <c r="AA850" s="2">
        <v>2</v>
      </c>
      <c r="AB850" s="2">
        <v>2</v>
      </c>
      <c r="AC850" s="2">
        <v>0</v>
      </c>
      <c r="AD850" s="2">
        <v>0</v>
      </c>
      <c r="AE850" s="2" t="s">
        <v>0</v>
      </c>
      <c r="AF850" s="2">
        <v>3</v>
      </c>
      <c r="AG850" s="2" t="s">
        <v>547</v>
      </c>
    </row>
    <row r="851" spans="1:33" ht="114.75" x14ac:dyDescent="0.2">
      <c r="A851" s="5" t="str">
        <f>HYPERLINK("http://www.patentics.cn/invokexml.do?sf=ShowPatent&amp;spn=US8588738&amp;sv=723f86339f7476403c1b0c34cf069669","US8588738")</f>
        <v>US8588738</v>
      </c>
      <c r="B851" s="3" t="s">
        <v>3968</v>
      </c>
      <c r="C851" s="3" t="s">
        <v>3969</v>
      </c>
      <c r="D851" s="3" t="s">
        <v>52</v>
      </c>
      <c r="E851" s="3" t="s">
        <v>52</v>
      </c>
      <c r="F851" s="3" t="s">
        <v>3970</v>
      </c>
      <c r="G851" s="3" t="s">
        <v>3971</v>
      </c>
      <c r="H851" s="3" t="s">
        <v>3972</v>
      </c>
      <c r="I851" s="3" t="s">
        <v>3973</v>
      </c>
      <c r="J851" s="3" t="s">
        <v>3974</v>
      </c>
      <c r="K851" s="3" t="s">
        <v>270</v>
      </c>
      <c r="L851" s="3" t="s">
        <v>271</v>
      </c>
      <c r="M851" s="3" t="s">
        <v>82</v>
      </c>
      <c r="N851" s="3" t="s">
        <v>3018</v>
      </c>
      <c r="O851" s="3">
        <v>0</v>
      </c>
      <c r="P851" s="3">
        <v>22</v>
      </c>
      <c r="Q851" s="3" t="s">
        <v>60</v>
      </c>
      <c r="R851" s="3" t="s">
        <v>61</v>
      </c>
      <c r="S851" s="3">
        <v>31</v>
      </c>
      <c r="T851" s="3">
        <v>2</v>
      </c>
      <c r="U851" s="3">
        <v>29</v>
      </c>
      <c r="V851" s="3">
        <v>19</v>
      </c>
      <c r="W851" s="3">
        <v>21</v>
      </c>
      <c r="X851" s="3" t="s">
        <v>3975</v>
      </c>
      <c r="Y851" s="3">
        <v>2</v>
      </c>
      <c r="Z851" s="3">
        <v>19</v>
      </c>
      <c r="AA851" s="3">
        <v>4</v>
      </c>
      <c r="AB851" s="3">
        <v>2</v>
      </c>
      <c r="AC851" s="3">
        <v>39</v>
      </c>
      <c r="AD851" s="3">
        <v>12</v>
      </c>
      <c r="AE851" s="3">
        <v>14</v>
      </c>
      <c r="AF851" s="3" t="s">
        <v>0</v>
      </c>
      <c r="AG851" s="3" t="s">
        <v>49</v>
      </c>
    </row>
    <row r="852" spans="1:33" ht="114.75" x14ac:dyDescent="0.2">
      <c r="A852" s="5" t="str">
        <f>HYPERLINK("http://www.patentics.cn/invokexml.do?sf=ShowPatent&amp;spn=US9125139&amp;sv=f83be39a4cffb79fc14f521e6ef1fca1","US9125139")</f>
        <v>US9125139</v>
      </c>
      <c r="B852" s="3" t="s">
        <v>3976</v>
      </c>
      <c r="C852" s="3" t="s">
        <v>3969</v>
      </c>
      <c r="D852" s="3" t="s">
        <v>52</v>
      </c>
      <c r="E852" s="3" t="s">
        <v>52</v>
      </c>
      <c r="F852" s="3" t="s">
        <v>3977</v>
      </c>
      <c r="G852" s="3" t="s">
        <v>3971</v>
      </c>
      <c r="H852" s="3" t="s">
        <v>3972</v>
      </c>
      <c r="I852" s="3" t="s">
        <v>3978</v>
      </c>
      <c r="J852" s="3" t="s">
        <v>816</v>
      </c>
      <c r="K852" s="3" t="s">
        <v>82</v>
      </c>
      <c r="L852" s="3" t="s">
        <v>3979</v>
      </c>
      <c r="M852" s="3" t="s">
        <v>0</v>
      </c>
      <c r="N852" s="3" t="s">
        <v>0</v>
      </c>
      <c r="O852" s="3">
        <v>0</v>
      </c>
      <c r="P852" s="3">
        <v>20</v>
      </c>
      <c r="Q852" s="3" t="s">
        <v>60</v>
      </c>
      <c r="R852" s="3" t="s">
        <v>61</v>
      </c>
      <c r="S852" s="3">
        <v>50</v>
      </c>
      <c r="T852" s="3">
        <v>12</v>
      </c>
      <c r="U852" s="3">
        <v>38</v>
      </c>
      <c r="V852" s="3">
        <v>23</v>
      </c>
      <c r="W852" s="3">
        <v>12</v>
      </c>
      <c r="X852" s="3" t="s">
        <v>147</v>
      </c>
      <c r="Y852" s="3">
        <v>0</v>
      </c>
      <c r="Z852" s="3">
        <v>12</v>
      </c>
      <c r="AA852" s="3">
        <v>0</v>
      </c>
      <c r="AB852" s="3">
        <v>1</v>
      </c>
      <c r="AC852" s="3">
        <v>39</v>
      </c>
      <c r="AD852" s="3">
        <v>12</v>
      </c>
      <c r="AE852" s="3">
        <v>14</v>
      </c>
      <c r="AF852" s="3" t="s">
        <v>0</v>
      </c>
      <c r="AG852" s="3" t="s">
        <v>49</v>
      </c>
    </row>
    <row r="853" spans="1:33" ht="63.75" x14ac:dyDescent="0.2">
      <c r="A853" s="5" t="str">
        <f>HYPERLINK("http://www.patentics.cn/invokexml.do?sf=ShowPatent&amp;spn=CN101884240B&amp;sv=d99800de1baf293ea7aeea5bbcce9998","CN101884240B")</f>
        <v>CN101884240B</v>
      </c>
      <c r="B853" s="3" t="s">
        <v>3980</v>
      </c>
      <c r="C853" s="3" t="s">
        <v>3981</v>
      </c>
      <c r="D853" s="3" t="s">
        <v>338</v>
      </c>
      <c r="E853" s="3" t="s">
        <v>338</v>
      </c>
      <c r="F853" s="3" t="s">
        <v>3982</v>
      </c>
      <c r="G853" s="3" t="s">
        <v>3983</v>
      </c>
      <c r="H853" s="3" t="s">
        <v>3972</v>
      </c>
      <c r="I853" s="3" t="s">
        <v>3984</v>
      </c>
      <c r="J853" s="3" t="s">
        <v>3985</v>
      </c>
      <c r="K853" s="3" t="s">
        <v>82</v>
      </c>
      <c r="L853" s="3" t="s">
        <v>3986</v>
      </c>
      <c r="M853" s="3" t="s">
        <v>0</v>
      </c>
      <c r="N853" s="3" t="s">
        <v>0</v>
      </c>
      <c r="O853" s="3">
        <v>54</v>
      </c>
      <c r="P853" s="3">
        <v>26</v>
      </c>
      <c r="Q853" s="3" t="s">
        <v>60</v>
      </c>
      <c r="R853" s="3" t="s">
        <v>61</v>
      </c>
      <c r="S853" s="3">
        <v>3</v>
      </c>
      <c r="T853" s="3">
        <v>0</v>
      </c>
      <c r="U853" s="3">
        <v>3</v>
      </c>
      <c r="V853" s="3">
        <v>3</v>
      </c>
      <c r="W853" s="3">
        <v>12</v>
      </c>
      <c r="X853" s="3" t="s">
        <v>147</v>
      </c>
      <c r="Y853" s="3">
        <v>0</v>
      </c>
      <c r="Z853" s="3">
        <v>12</v>
      </c>
      <c r="AA853" s="3">
        <v>0</v>
      </c>
      <c r="AB853" s="3">
        <v>1</v>
      </c>
      <c r="AC853" s="3">
        <v>39</v>
      </c>
      <c r="AD853" s="3">
        <v>12</v>
      </c>
      <c r="AE853" s="3">
        <v>14</v>
      </c>
      <c r="AF853" s="3" t="s">
        <v>0</v>
      </c>
      <c r="AG853" s="3" t="s">
        <v>49</v>
      </c>
    </row>
    <row r="854" spans="1:33" ht="25.5" x14ac:dyDescent="0.2">
      <c r="A854" s="4" t="str">
        <f>HYPERLINK("http://www.patentics.cn/invokexml.do?sf=ShowPatent&amp;spn=CN101009579&amp;sv=5efeeb06abf20edb5f5caa2b75775c65","CN101009579")</f>
        <v>CN101009579</v>
      </c>
      <c r="B854" s="2" t="s">
        <v>3987</v>
      </c>
      <c r="C854" s="2" t="s">
        <v>3988</v>
      </c>
      <c r="D854" s="2" t="s">
        <v>38</v>
      </c>
      <c r="E854" s="2" t="s">
        <v>38</v>
      </c>
      <c r="F854" s="2" t="s">
        <v>3989</v>
      </c>
      <c r="G854" s="2" t="s">
        <v>3990</v>
      </c>
      <c r="H854" s="2" t="s">
        <v>3967</v>
      </c>
      <c r="I854" s="2" t="s">
        <v>3967</v>
      </c>
      <c r="J854" s="2" t="s">
        <v>3565</v>
      </c>
      <c r="K854" s="2" t="s">
        <v>58</v>
      </c>
      <c r="L854" s="2" t="s">
        <v>752</v>
      </c>
      <c r="M854" s="2" t="s">
        <v>58</v>
      </c>
      <c r="N854" s="2" t="s">
        <v>3991</v>
      </c>
      <c r="O854" s="2">
        <v>14</v>
      </c>
      <c r="P854" s="2">
        <v>18</v>
      </c>
      <c r="Q854" s="2" t="s">
        <v>46</v>
      </c>
      <c r="R854" s="2" t="s">
        <v>47</v>
      </c>
      <c r="S854" s="2">
        <v>2</v>
      </c>
      <c r="T854" s="2">
        <v>0</v>
      </c>
      <c r="U854" s="2">
        <v>2</v>
      </c>
      <c r="V854" s="2">
        <v>1</v>
      </c>
      <c r="W854" s="2">
        <v>5</v>
      </c>
      <c r="X854" s="2" t="s">
        <v>912</v>
      </c>
      <c r="Y854" s="2">
        <v>1</v>
      </c>
      <c r="Z854" s="2">
        <v>4</v>
      </c>
      <c r="AA854" s="2">
        <v>3</v>
      </c>
      <c r="AB854" s="2">
        <v>2</v>
      </c>
      <c r="AC854" s="2">
        <v>1</v>
      </c>
      <c r="AD854" s="2">
        <v>1</v>
      </c>
      <c r="AE854" s="2" t="s">
        <v>0</v>
      </c>
      <c r="AF854" s="2">
        <v>3</v>
      </c>
      <c r="AG854" s="2" t="s">
        <v>49</v>
      </c>
    </row>
    <row r="855" spans="1:33" ht="89.25" x14ac:dyDescent="0.2">
      <c r="A855" s="5" t="str">
        <f>HYPERLINK("http://www.patentics.cn/invokexml.do?sf=ShowPatent&amp;spn=US8738058&amp;sv=70ed152101659145fb50587a631c3134","US8738058")</f>
        <v>US8738058</v>
      </c>
      <c r="B855" s="3" t="s">
        <v>3992</v>
      </c>
      <c r="C855" s="3" t="s">
        <v>3993</v>
      </c>
      <c r="D855" s="3" t="s">
        <v>52</v>
      </c>
      <c r="E855" s="3" t="s">
        <v>52</v>
      </c>
      <c r="F855" s="3" t="s">
        <v>3994</v>
      </c>
      <c r="G855" s="3" t="s">
        <v>3995</v>
      </c>
      <c r="H855" s="3" t="s">
        <v>3996</v>
      </c>
      <c r="I855" s="3" t="s">
        <v>2078</v>
      </c>
      <c r="J855" s="3" t="s">
        <v>1987</v>
      </c>
      <c r="K855" s="3" t="s">
        <v>82</v>
      </c>
      <c r="L855" s="3" t="s">
        <v>83</v>
      </c>
      <c r="M855" s="3" t="s">
        <v>82</v>
      </c>
      <c r="N855" s="3" t="s">
        <v>3997</v>
      </c>
      <c r="O855" s="3">
        <v>0</v>
      </c>
      <c r="P855" s="3">
        <v>11</v>
      </c>
      <c r="Q855" s="3" t="s">
        <v>60</v>
      </c>
      <c r="R855" s="3" t="s">
        <v>61</v>
      </c>
      <c r="S855" s="3">
        <v>98</v>
      </c>
      <c r="T855" s="3">
        <v>11</v>
      </c>
      <c r="U855" s="3">
        <v>87</v>
      </c>
      <c r="V855" s="3">
        <v>36</v>
      </c>
      <c r="W855" s="3">
        <v>1</v>
      </c>
      <c r="X855" s="3" t="s">
        <v>523</v>
      </c>
      <c r="Y855" s="3">
        <v>0</v>
      </c>
      <c r="Z855" s="3">
        <v>1</v>
      </c>
      <c r="AA855" s="3">
        <v>1</v>
      </c>
      <c r="AB855" s="3">
        <v>1</v>
      </c>
      <c r="AC855" s="3">
        <v>9</v>
      </c>
      <c r="AD855" s="3">
        <v>6</v>
      </c>
      <c r="AE855" s="3">
        <v>14</v>
      </c>
      <c r="AF855" s="3" t="s">
        <v>0</v>
      </c>
      <c r="AG855" s="3" t="s">
        <v>49</v>
      </c>
    </row>
    <row r="856" spans="1:33" ht="51" x14ac:dyDescent="0.2">
      <c r="A856" s="5" t="str">
        <f>HYPERLINK("http://www.patentics.cn/invokexml.do?sf=ShowPatent&amp;spn=US9014741&amp;sv=01c6cf7c047d2bf8f5ea25fe51ad67bf","US9014741")</f>
        <v>US9014741</v>
      </c>
      <c r="B856" s="3" t="s">
        <v>3998</v>
      </c>
      <c r="C856" s="3" t="s">
        <v>3999</v>
      </c>
      <c r="D856" s="3" t="s">
        <v>52</v>
      </c>
      <c r="E856" s="3" t="s">
        <v>52</v>
      </c>
      <c r="F856" s="3" t="s">
        <v>4000</v>
      </c>
      <c r="G856" s="3" t="s">
        <v>4001</v>
      </c>
      <c r="H856" s="3" t="s">
        <v>462</v>
      </c>
      <c r="I856" s="3" t="s">
        <v>4002</v>
      </c>
      <c r="J856" s="3" t="s">
        <v>499</v>
      </c>
      <c r="K856" s="3" t="s">
        <v>84</v>
      </c>
      <c r="L856" s="3" t="s">
        <v>163</v>
      </c>
      <c r="M856" s="3" t="s">
        <v>82</v>
      </c>
      <c r="N856" s="3" t="s">
        <v>3642</v>
      </c>
      <c r="O856" s="3">
        <v>0</v>
      </c>
      <c r="P856" s="3">
        <v>12</v>
      </c>
      <c r="Q856" s="3" t="s">
        <v>60</v>
      </c>
      <c r="R856" s="3" t="s">
        <v>61</v>
      </c>
      <c r="S856" s="3">
        <v>102</v>
      </c>
      <c r="T856" s="3">
        <v>10</v>
      </c>
      <c r="U856" s="3">
        <v>92</v>
      </c>
      <c r="V856" s="3">
        <v>37</v>
      </c>
      <c r="W856" s="3">
        <v>0</v>
      </c>
      <c r="X856" s="3" t="s">
        <v>147</v>
      </c>
      <c r="Y856" s="3">
        <v>0</v>
      </c>
      <c r="Z856" s="3">
        <v>0</v>
      </c>
      <c r="AA856" s="3">
        <v>0</v>
      </c>
      <c r="AB856" s="3">
        <v>0</v>
      </c>
      <c r="AC856" s="3">
        <v>19</v>
      </c>
      <c r="AD856" s="3">
        <v>6</v>
      </c>
      <c r="AE856" s="3">
        <v>14</v>
      </c>
      <c r="AF856" s="3" t="s">
        <v>0</v>
      </c>
      <c r="AG856" s="3" t="s">
        <v>49</v>
      </c>
    </row>
    <row r="857" spans="1:33" ht="63.75" x14ac:dyDescent="0.2">
      <c r="A857" s="5" t="str">
        <f>HYPERLINK("http://www.patentics.cn/invokexml.do?sf=ShowPatent&amp;spn=US9426632&amp;sv=f3ba5e59a9f3e29f97d8c098ff404c5a","US9426632")</f>
        <v>US9426632</v>
      </c>
      <c r="B857" s="3" t="s">
        <v>4003</v>
      </c>
      <c r="C857" s="3" t="s">
        <v>3999</v>
      </c>
      <c r="D857" s="3" t="s">
        <v>52</v>
      </c>
      <c r="E857" s="3" t="s">
        <v>52</v>
      </c>
      <c r="F857" s="3" t="s">
        <v>4004</v>
      </c>
      <c r="G857" s="3" t="s">
        <v>4005</v>
      </c>
      <c r="H857" s="3" t="s">
        <v>462</v>
      </c>
      <c r="I857" s="3" t="s">
        <v>4006</v>
      </c>
      <c r="J857" s="3" t="s">
        <v>325</v>
      </c>
      <c r="K857" s="3" t="s">
        <v>84</v>
      </c>
      <c r="L857" s="3" t="s">
        <v>163</v>
      </c>
      <c r="M857" s="3" t="s">
        <v>82</v>
      </c>
      <c r="N857" s="3" t="s">
        <v>3997</v>
      </c>
      <c r="O857" s="3">
        <v>0</v>
      </c>
      <c r="P857" s="3">
        <v>9</v>
      </c>
      <c r="Q857" s="3" t="s">
        <v>60</v>
      </c>
      <c r="R857" s="3" t="s">
        <v>61</v>
      </c>
      <c r="S857" s="3">
        <v>111</v>
      </c>
      <c r="T857" s="3">
        <v>14</v>
      </c>
      <c r="U857" s="3">
        <v>97</v>
      </c>
      <c r="V857" s="3">
        <v>38</v>
      </c>
      <c r="W857" s="3">
        <v>0</v>
      </c>
      <c r="X857" s="3" t="s">
        <v>147</v>
      </c>
      <c r="Y857" s="3">
        <v>0</v>
      </c>
      <c r="Z857" s="3">
        <v>0</v>
      </c>
      <c r="AA857" s="3">
        <v>0</v>
      </c>
      <c r="AB857" s="3">
        <v>0</v>
      </c>
      <c r="AC857" s="3">
        <v>19</v>
      </c>
      <c r="AD857" s="3">
        <v>6</v>
      </c>
      <c r="AE857" s="3">
        <v>14</v>
      </c>
      <c r="AF857" s="3" t="s">
        <v>0</v>
      </c>
      <c r="AG857" s="3" t="s">
        <v>49</v>
      </c>
    </row>
    <row r="858" spans="1:33" ht="51" x14ac:dyDescent="0.2">
      <c r="A858" s="4" t="str">
        <f>HYPERLINK("http://www.patentics.cn/invokexml.do?sf=ShowPatent&amp;spn=CN1980417&amp;sv=983538a59acdaab734fc8306b5bd0e45","CN1980417")</f>
        <v>CN1980417</v>
      </c>
      <c r="B858" s="2" t="s">
        <v>4007</v>
      </c>
      <c r="C858" s="2" t="s">
        <v>4008</v>
      </c>
      <c r="D858" s="2" t="s">
        <v>38</v>
      </c>
      <c r="E858" s="2" t="s">
        <v>38</v>
      </c>
      <c r="F858" s="2" t="s">
        <v>4009</v>
      </c>
      <c r="G858" s="2" t="s">
        <v>4010</v>
      </c>
      <c r="H858" s="2" t="s">
        <v>4011</v>
      </c>
      <c r="I858" s="2" t="s">
        <v>4011</v>
      </c>
      <c r="J858" s="2" t="s">
        <v>2145</v>
      </c>
      <c r="K858" s="2" t="s">
        <v>43</v>
      </c>
      <c r="L858" s="2" t="s">
        <v>4012</v>
      </c>
      <c r="M858" s="2" t="s">
        <v>43</v>
      </c>
      <c r="N858" s="2" t="s">
        <v>4013</v>
      </c>
      <c r="O858" s="2">
        <v>4</v>
      </c>
      <c r="P858" s="2">
        <v>15</v>
      </c>
      <c r="Q858" s="2" t="s">
        <v>46</v>
      </c>
      <c r="R858" s="2" t="s">
        <v>47</v>
      </c>
      <c r="S858" s="2">
        <v>0</v>
      </c>
      <c r="T858" s="2">
        <v>0</v>
      </c>
      <c r="U858" s="2">
        <v>0</v>
      </c>
      <c r="V858" s="2">
        <v>0</v>
      </c>
      <c r="W858" s="2">
        <v>7</v>
      </c>
      <c r="X858" s="2" t="s">
        <v>4014</v>
      </c>
      <c r="Y858" s="2">
        <v>0</v>
      </c>
      <c r="Z858" s="2">
        <v>7</v>
      </c>
      <c r="AA858" s="2">
        <v>5</v>
      </c>
      <c r="AB858" s="2">
        <v>3</v>
      </c>
      <c r="AC858" s="2">
        <v>1</v>
      </c>
      <c r="AD858" s="2">
        <v>1</v>
      </c>
      <c r="AE858" s="2" t="s">
        <v>0</v>
      </c>
      <c r="AF858" s="2">
        <v>3</v>
      </c>
      <c r="AG858" s="2" t="s">
        <v>49</v>
      </c>
    </row>
    <row r="859" spans="1:33" ht="51" x14ac:dyDescent="0.2">
      <c r="A859" s="5" t="str">
        <f>HYPERLINK("http://www.patentics.cn/invokexml.do?sf=ShowPatent&amp;spn=US9131459&amp;sv=7827c07fd92ecdcd4d3705e67d53e0e5","US9131459")</f>
        <v>US9131459</v>
      </c>
      <c r="B859" s="3" t="s">
        <v>4015</v>
      </c>
      <c r="C859" s="3" t="s">
        <v>4016</v>
      </c>
      <c r="D859" s="3" t="s">
        <v>52</v>
      </c>
      <c r="E859" s="3" t="s">
        <v>52</v>
      </c>
      <c r="F859" s="3" t="s">
        <v>4017</v>
      </c>
      <c r="G859" s="3" t="s">
        <v>4018</v>
      </c>
      <c r="H859" s="3" t="s">
        <v>4019</v>
      </c>
      <c r="I859" s="3" t="s">
        <v>4020</v>
      </c>
      <c r="J859" s="3" t="s">
        <v>219</v>
      </c>
      <c r="K859" s="3" t="s">
        <v>82</v>
      </c>
      <c r="L859" s="3" t="s">
        <v>806</v>
      </c>
      <c r="M859" s="3" t="s">
        <v>0</v>
      </c>
      <c r="N859" s="3" t="s">
        <v>0</v>
      </c>
      <c r="O859" s="3">
        <v>0</v>
      </c>
      <c r="P859" s="3">
        <v>13</v>
      </c>
      <c r="Q859" s="3" t="s">
        <v>60</v>
      </c>
      <c r="R859" s="3" t="s">
        <v>61</v>
      </c>
      <c r="S859" s="3">
        <v>23</v>
      </c>
      <c r="T859" s="3">
        <v>2</v>
      </c>
      <c r="U859" s="3">
        <v>21</v>
      </c>
      <c r="V859" s="3">
        <v>13</v>
      </c>
      <c r="W859" s="3">
        <v>1</v>
      </c>
      <c r="X859" s="3" t="s">
        <v>1232</v>
      </c>
      <c r="Y859" s="3">
        <v>0</v>
      </c>
      <c r="Z859" s="3">
        <v>1</v>
      </c>
      <c r="AA859" s="3">
        <v>1</v>
      </c>
      <c r="AB859" s="3">
        <v>1</v>
      </c>
      <c r="AC859" s="3">
        <v>17</v>
      </c>
      <c r="AD859" s="3">
        <v>7</v>
      </c>
      <c r="AE859" s="3">
        <v>14</v>
      </c>
      <c r="AF859" s="3" t="s">
        <v>0</v>
      </c>
      <c r="AG859" s="3" t="s">
        <v>49</v>
      </c>
    </row>
    <row r="860" spans="1:33" ht="51" x14ac:dyDescent="0.2">
      <c r="A860" s="5" t="str">
        <f>HYPERLINK("http://www.patentics.cn/invokexml.do?sf=ShowPatent&amp;spn=US9578619&amp;sv=73bb4d6c0c7563a3e23c190a9e8ffdf4","US9578619")</f>
        <v>US9578619</v>
      </c>
      <c r="B860" s="3" t="s">
        <v>4021</v>
      </c>
      <c r="C860" s="3" t="s">
        <v>4016</v>
      </c>
      <c r="D860" s="3" t="s">
        <v>52</v>
      </c>
      <c r="E860" s="3" t="s">
        <v>52</v>
      </c>
      <c r="F860" s="3" t="s">
        <v>4022</v>
      </c>
      <c r="G860" s="3" t="s">
        <v>4023</v>
      </c>
      <c r="H860" s="3" t="s">
        <v>4019</v>
      </c>
      <c r="I860" s="3" t="s">
        <v>989</v>
      </c>
      <c r="J860" s="3" t="s">
        <v>871</v>
      </c>
      <c r="K860" s="3" t="s">
        <v>82</v>
      </c>
      <c r="L860" s="3" t="s">
        <v>806</v>
      </c>
      <c r="M860" s="3" t="s">
        <v>82</v>
      </c>
      <c r="N860" s="3" t="s">
        <v>2259</v>
      </c>
      <c r="O860" s="3">
        <v>0</v>
      </c>
      <c r="P860" s="3">
        <v>14</v>
      </c>
      <c r="Q860" s="3" t="s">
        <v>60</v>
      </c>
      <c r="R860" s="3" t="s">
        <v>61</v>
      </c>
      <c r="S860" s="3">
        <v>30</v>
      </c>
      <c r="T860" s="3">
        <v>8</v>
      </c>
      <c r="U860" s="3">
        <v>22</v>
      </c>
      <c r="V860" s="3">
        <v>13</v>
      </c>
      <c r="W860" s="3">
        <v>0</v>
      </c>
      <c r="X860" s="3" t="s">
        <v>147</v>
      </c>
      <c r="Y860" s="3">
        <v>0</v>
      </c>
      <c r="Z860" s="3">
        <v>0</v>
      </c>
      <c r="AA860" s="3">
        <v>0</v>
      </c>
      <c r="AB860" s="3">
        <v>0</v>
      </c>
      <c r="AC860" s="3">
        <v>17</v>
      </c>
      <c r="AD860" s="3">
        <v>7</v>
      </c>
      <c r="AE860" s="3">
        <v>14</v>
      </c>
      <c r="AF860" s="3" t="s">
        <v>0</v>
      </c>
      <c r="AG860" s="3" t="s">
        <v>49</v>
      </c>
    </row>
    <row r="861" spans="1:33" ht="25.5" x14ac:dyDescent="0.2">
      <c r="A861" s="5" t="str">
        <f>HYPERLINK("http://www.patentics.cn/invokexml.do?sf=ShowPatent&amp;spn=CN102742336B&amp;sv=16ee9ccd715eecb680b04628056fd2d2","CN102742336B")</f>
        <v>CN102742336B</v>
      </c>
      <c r="B861" s="3" t="s">
        <v>4024</v>
      </c>
      <c r="C861" s="3" t="s">
        <v>4025</v>
      </c>
      <c r="D861" s="3" t="s">
        <v>338</v>
      </c>
      <c r="E861" s="3" t="s">
        <v>338</v>
      </c>
      <c r="F861" s="3" t="s">
        <v>4026</v>
      </c>
      <c r="G861" s="3" t="s">
        <v>3626</v>
      </c>
      <c r="H861" s="3" t="s">
        <v>4019</v>
      </c>
      <c r="I861" s="3" t="s">
        <v>4027</v>
      </c>
      <c r="J861" s="3" t="s">
        <v>4028</v>
      </c>
      <c r="K861" s="3" t="s">
        <v>82</v>
      </c>
      <c r="L861" s="3" t="s">
        <v>2849</v>
      </c>
      <c r="M861" s="3" t="s">
        <v>0</v>
      </c>
      <c r="N861" s="3" t="s">
        <v>0</v>
      </c>
      <c r="O861" s="3">
        <v>33</v>
      </c>
      <c r="P861" s="3">
        <v>18</v>
      </c>
      <c r="Q861" s="3" t="s">
        <v>60</v>
      </c>
      <c r="R861" s="3" t="s">
        <v>61</v>
      </c>
      <c r="S861" s="3">
        <v>1</v>
      </c>
      <c r="T861" s="3">
        <v>0</v>
      </c>
      <c r="U861" s="3">
        <v>1</v>
      </c>
      <c r="V861" s="3">
        <v>1</v>
      </c>
      <c r="W861" s="3">
        <v>0</v>
      </c>
      <c r="X861" s="3" t="s">
        <v>147</v>
      </c>
      <c r="Y861" s="3">
        <v>0</v>
      </c>
      <c r="Z861" s="3">
        <v>0</v>
      </c>
      <c r="AA861" s="3">
        <v>0</v>
      </c>
      <c r="AB861" s="3">
        <v>0</v>
      </c>
      <c r="AC861" s="3">
        <v>17</v>
      </c>
      <c r="AD861" s="3">
        <v>7</v>
      </c>
      <c r="AE861" s="3">
        <v>14</v>
      </c>
      <c r="AF861" s="3" t="s">
        <v>0</v>
      </c>
      <c r="AG861" s="3" t="s">
        <v>49</v>
      </c>
    </row>
    <row r="862" spans="1:33" ht="25.5" x14ac:dyDescent="0.2">
      <c r="A862" s="4" t="str">
        <f>HYPERLINK("http://www.patentics.cn/invokexml.do?sf=ShowPatent&amp;spn=CN1960561&amp;sv=4989188a79b869f84b3ae52cecd03a84","CN1960561")</f>
        <v>CN1960561</v>
      </c>
      <c r="B862" s="2" t="s">
        <v>4029</v>
      </c>
      <c r="C862" s="2" t="s">
        <v>4030</v>
      </c>
      <c r="D862" s="2" t="s">
        <v>38</v>
      </c>
      <c r="E862" s="2" t="s">
        <v>38</v>
      </c>
      <c r="F862" s="2" t="s">
        <v>3966</v>
      </c>
      <c r="G862" s="2" t="s">
        <v>3966</v>
      </c>
      <c r="H862" s="2" t="s">
        <v>4031</v>
      </c>
      <c r="I862" s="2" t="s">
        <v>4031</v>
      </c>
      <c r="J862" s="2" t="s">
        <v>4032</v>
      </c>
      <c r="K862" s="2" t="s">
        <v>43</v>
      </c>
      <c r="L862" s="2" t="s">
        <v>2591</v>
      </c>
      <c r="M862" s="2" t="s">
        <v>58</v>
      </c>
      <c r="N862" s="2" t="s">
        <v>1785</v>
      </c>
      <c r="O862" s="2">
        <v>5</v>
      </c>
      <c r="P862" s="2">
        <v>32</v>
      </c>
      <c r="Q862" s="2" t="s">
        <v>46</v>
      </c>
      <c r="R862" s="2" t="s">
        <v>47</v>
      </c>
      <c r="S862" s="2">
        <v>0</v>
      </c>
      <c r="T862" s="2">
        <v>0</v>
      </c>
      <c r="U862" s="2">
        <v>0</v>
      </c>
      <c r="V862" s="2">
        <v>0</v>
      </c>
      <c r="W862" s="2">
        <v>6</v>
      </c>
      <c r="X862" s="2" t="s">
        <v>4033</v>
      </c>
      <c r="Y862" s="2">
        <v>0</v>
      </c>
      <c r="Z862" s="2">
        <v>6</v>
      </c>
      <c r="AA862" s="2">
        <v>3</v>
      </c>
      <c r="AB862" s="2">
        <v>2</v>
      </c>
      <c r="AC862" s="2">
        <v>2</v>
      </c>
      <c r="AD862" s="2">
        <v>2</v>
      </c>
      <c r="AE862" s="2" t="s">
        <v>0</v>
      </c>
      <c r="AF862" s="2">
        <v>3</v>
      </c>
      <c r="AG862" s="2" t="s">
        <v>49</v>
      </c>
    </row>
    <row r="863" spans="1:33" ht="38.25" x14ac:dyDescent="0.2">
      <c r="A863" s="5" t="str">
        <f>HYPERLINK("http://www.patentics.cn/invokexml.do?sf=ShowPatent&amp;spn=US8767739&amp;sv=55812f1d5d20a26904bda1b33aed1bbb","US8767739")</f>
        <v>US8767739</v>
      </c>
      <c r="B863" s="3" t="s">
        <v>4034</v>
      </c>
      <c r="C863" s="3" t="s">
        <v>4035</v>
      </c>
      <c r="D863" s="3" t="s">
        <v>52</v>
      </c>
      <c r="E863" s="3" t="s">
        <v>52</v>
      </c>
      <c r="F863" s="3" t="s">
        <v>1853</v>
      </c>
      <c r="G863" s="3" t="s">
        <v>1853</v>
      </c>
      <c r="H863" s="3" t="s">
        <v>4036</v>
      </c>
      <c r="I863" s="3" t="s">
        <v>4037</v>
      </c>
      <c r="J863" s="3" t="s">
        <v>1544</v>
      </c>
      <c r="K863" s="3" t="s">
        <v>58</v>
      </c>
      <c r="L863" s="3" t="s">
        <v>289</v>
      </c>
      <c r="M863" s="3" t="s">
        <v>58</v>
      </c>
      <c r="N863" s="3" t="s">
        <v>4038</v>
      </c>
      <c r="O863" s="3">
        <v>0</v>
      </c>
      <c r="P863" s="3">
        <v>13</v>
      </c>
      <c r="Q863" s="3" t="s">
        <v>60</v>
      </c>
      <c r="R863" s="3" t="s">
        <v>61</v>
      </c>
      <c r="S863" s="3">
        <v>33</v>
      </c>
      <c r="T863" s="3">
        <v>1</v>
      </c>
      <c r="U863" s="3">
        <v>32</v>
      </c>
      <c r="V863" s="3">
        <v>17</v>
      </c>
      <c r="W863" s="3">
        <v>8</v>
      </c>
      <c r="X863" s="3" t="s">
        <v>523</v>
      </c>
      <c r="Y863" s="3">
        <v>1</v>
      </c>
      <c r="Z863" s="3">
        <v>7</v>
      </c>
      <c r="AA863" s="3">
        <v>2</v>
      </c>
      <c r="AB863" s="3">
        <v>2</v>
      </c>
      <c r="AC863" s="3">
        <v>27</v>
      </c>
      <c r="AD863" s="3">
        <v>16</v>
      </c>
      <c r="AE863" s="3">
        <v>14</v>
      </c>
      <c r="AF863" s="3" t="s">
        <v>0</v>
      </c>
      <c r="AG863" s="3" t="s">
        <v>49</v>
      </c>
    </row>
    <row r="864" spans="1:33" ht="38.25" x14ac:dyDescent="0.2">
      <c r="A864" s="5" t="str">
        <f>HYPERLINK("http://www.patentics.cn/invokexml.do?sf=ShowPatent&amp;spn=US9609557&amp;sv=006a7d159ed92a66b6fac94ff06e2dfe","US9609557")</f>
        <v>US9609557</v>
      </c>
      <c r="B864" s="3" t="s">
        <v>4039</v>
      </c>
      <c r="C864" s="3" t="s">
        <v>4035</v>
      </c>
      <c r="D864" s="3" t="s">
        <v>52</v>
      </c>
      <c r="E864" s="3" t="s">
        <v>52</v>
      </c>
      <c r="F864" s="3" t="s">
        <v>1853</v>
      </c>
      <c r="G864" s="3" t="s">
        <v>1853</v>
      </c>
      <c r="H864" s="3" t="s">
        <v>0</v>
      </c>
      <c r="I864" s="3" t="s">
        <v>4040</v>
      </c>
      <c r="J864" s="3" t="s">
        <v>3892</v>
      </c>
      <c r="K864" s="3" t="s">
        <v>82</v>
      </c>
      <c r="L864" s="3" t="s">
        <v>4041</v>
      </c>
      <c r="M864" s="3" t="s">
        <v>82</v>
      </c>
      <c r="N864" s="3" t="s">
        <v>4042</v>
      </c>
      <c r="O864" s="3">
        <v>0</v>
      </c>
      <c r="P864" s="3">
        <v>12</v>
      </c>
      <c r="Q864" s="3" t="s">
        <v>60</v>
      </c>
      <c r="R864" s="3" t="s">
        <v>61</v>
      </c>
      <c r="S864" s="3">
        <v>38</v>
      </c>
      <c r="T864" s="3">
        <v>3</v>
      </c>
      <c r="U864" s="3">
        <v>35</v>
      </c>
      <c r="V864" s="3">
        <v>19</v>
      </c>
      <c r="W864" s="3">
        <v>0</v>
      </c>
      <c r="X864" s="3" t="s">
        <v>147</v>
      </c>
      <c r="Y864" s="3">
        <v>0</v>
      </c>
      <c r="Z864" s="3">
        <v>0</v>
      </c>
      <c r="AA864" s="3">
        <v>0</v>
      </c>
      <c r="AB864" s="3">
        <v>0</v>
      </c>
      <c r="AC864" s="3">
        <v>0</v>
      </c>
      <c r="AD864" s="3">
        <v>0</v>
      </c>
      <c r="AE864" s="3">
        <v>14</v>
      </c>
      <c r="AF864" s="3" t="s">
        <v>0</v>
      </c>
      <c r="AG864" s="3" t="s">
        <v>49</v>
      </c>
    </row>
    <row r="865" spans="1:33" ht="25.5" x14ac:dyDescent="0.2">
      <c r="A865" s="5" t="str">
        <f>HYPERLINK("http://www.patentics.cn/invokexml.do?sf=ShowPatent&amp;spn=CN101785235B&amp;sv=7673425cf07339c93819e58dc3f7c956","CN101785235B")</f>
        <v>CN101785235B</v>
      </c>
      <c r="B865" s="3" t="s">
        <v>4043</v>
      </c>
      <c r="C865" s="3" t="s">
        <v>4044</v>
      </c>
      <c r="D865" s="3" t="s">
        <v>338</v>
      </c>
      <c r="E865" s="3" t="s">
        <v>338</v>
      </c>
      <c r="F865" s="3" t="s">
        <v>2630</v>
      </c>
      <c r="G865" s="3" t="s">
        <v>2630</v>
      </c>
      <c r="H865" s="3" t="s">
        <v>4036</v>
      </c>
      <c r="I865" s="3" t="s">
        <v>4037</v>
      </c>
      <c r="J865" s="3" t="s">
        <v>2516</v>
      </c>
      <c r="K865" s="3" t="s">
        <v>58</v>
      </c>
      <c r="L865" s="3" t="s">
        <v>1980</v>
      </c>
      <c r="M865" s="3" t="s">
        <v>0</v>
      </c>
      <c r="N865" s="3" t="s">
        <v>0</v>
      </c>
      <c r="O865" s="3">
        <v>23</v>
      </c>
      <c r="P865" s="3">
        <v>18</v>
      </c>
      <c r="Q865" s="3" t="s">
        <v>60</v>
      </c>
      <c r="R865" s="3" t="s">
        <v>61</v>
      </c>
      <c r="S865" s="3">
        <v>7</v>
      </c>
      <c r="T865" s="3">
        <v>0</v>
      </c>
      <c r="U865" s="3">
        <v>7</v>
      </c>
      <c r="V865" s="3">
        <v>2</v>
      </c>
      <c r="W865" s="3">
        <v>6</v>
      </c>
      <c r="X865" s="3" t="s">
        <v>147</v>
      </c>
      <c r="Y865" s="3">
        <v>0</v>
      </c>
      <c r="Z865" s="3">
        <v>6</v>
      </c>
      <c r="AA865" s="3">
        <v>0</v>
      </c>
      <c r="AB865" s="3">
        <v>1</v>
      </c>
      <c r="AC865" s="3">
        <v>0</v>
      </c>
      <c r="AD865" s="3">
        <v>0</v>
      </c>
      <c r="AE865" s="3">
        <v>14</v>
      </c>
      <c r="AF865" s="3" t="s">
        <v>0</v>
      </c>
      <c r="AG865" s="3" t="s">
        <v>49</v>
      </c>
    </row>
    <row r="866" spans="1:33" ht="38.25" x14ac:dyDescent="0.2">
      <c r="A866" s="4" t="str">
        <f>HYPERLINK("http://www.patentics.cn/invokexml.do?sf=ShowPatent&amp;spn=CN1913468&amp;sv=b8f491a73af1b32a2cd3faa186caba69","CN1913468")</f>
        <v>CN1913468</v>
      </c>
      <c r="B866" s="2" t="s">
        <v>4045</v>
      </c>
      <c r="C866" s="2" t="s">
        <v>4046</v>
      </c>
      <c r="D866" s="2" t="s">
        <v>38</v>
      </c>
      <c r="E866" s="2" t="s">
        <v>38</v>
      </c>
      <c r="F866" s="2" t="s">
        <v>4047</v>
      </c>
      <c r="G866" s="2" t="s">
        <v>4048</v>
      </c>
      <c r="H866" s="2" t="s">
        <v>4049</v>
      </c>
      <c r="I866" s="2" t="s">
        <v>4049</v>
      </c>
      <c r="J866" s="2" t="s">
        <v>4050</v>
      </c>
      <c r="K866" s="2" t="s">
        <v>58</v>
      </c>
      <c r="L866" s="2" t="s">
        <v>289</v>
      </c>
      <c r="M866" s="2" t="s">
        <v>58</v>
      </c>
      <c r="N866" s="2" t="s">
        <v>4051</v>
      </c>
      <c r="O866" s="2">
        <v>10</v>
      </c>
      <c r="P866" s="2">
        <v>24</v>
      </c>
      <c r="Q866" s="2" t="s">
        <v>46</v>
      </c>
      <c r="R866" s="2" t="s">
        <v>47</v>
      </c>
      <c r="S866" s="2">
        <v>2</v>
      </c>
      <c r="T866" s="2">
        <v>0</v>
      </c>
      <c r="U866" s="2">
        <v>2</v>
      </c>
      <c r="V866" s="2">
        <v>2</v>
      </c>
      <c r="W866" s="2">
        <v>3</v>
      </c>
      <c r="X866" s="2" t="s">
        <v>1581</v>
      </c>
      <c r="Y866" s="2">
        <v>0</v>
      </c>
      <c r="Z866" s="2">
        <v>3</v>
      </c>
      <c r="AA866" s="2">
        <v>1</v>
      </c>
      <c r="AB866" s="2">
        <v>2</v>
      </c>
      <c r="AC866" s="2">
        <v>1</v>
      </c>
      <c r="AD866" s="2">
        <v>1</v>
      </c>
      <c r="AE866" s="2" t="s">
        <v>0</v>
      </c>
      <c r="AF866" s="2">
        <v>3</v>
      </c>
      <c r="AG866" s="2" t="s">
        <v>755</v>
      </c>
    </row>
    <row r="867" spans="1:33" ht="76.5" x14ac:dyDescent="0.2">
      <c r="A867" s="5" t="str">
        <f>HYPERLINK("http://www.patentics.cn/invokexml.do?sf=ShowPatent&amp;spn=US8442529&amp;sv=14712632460ab07042fd8a6fab050fdd","US8442529")</f>
        <v>US8442529</v>
      </c>
      <c r="B867" s="3" t="s">
        <v>4052</v>
      </c>
      <c r="C867" s="3" t="s">
        <v>4053</v>
      </c>
      <c r="D867" s="3" t="s">
        <v>52</v>
      </c>
      <c r="E867" s="3" t="s">
        <v>52</v>
      </c>
      <c r="F867" s="3" t="s">
        <v>4054</v>
      </c>
      <c r="G867" s="3" t="s">
        <v>4055</v>
      </c>
      <c r="H867" s="3" t="s">
        <v>4056</v>
      </c>
      <c r="I867" s="3" t="s">
        <v>2887</v>
      </c>
      <c r="J867" s="3" t="s">
        <v>4057</v>
      </c>
      <c r="K867" s="3" t="s">
        <v>82</v>
      </c>
      <c r="L867" s="3" t="s">
        <v>177</v>
      </c>
      <c r="M867" s="3" t="s">
        <v>82</v>
      </c>
      <c r="N867" s="3" t="s">
        <v>4058</v>
      </c>
      <c r="O867" s="3">
        <v>0</v>
      </c>
      <c r="P867" s="3">
        <v>13</v>
      </c>
      <c r="Q867" s="3" t="s">
        <v>60</v>
      </c>
      <c r="R867" s="3" t="s">
        <v>61</v>
      </c>
      <c r="S867" s="3">
        <v>22</v>
      </c>
      <c r="T867" s="3">
        <v>4</v>
      </c>
      <c r="U867" s="3">
        <v>18</v>
      </c>
      <c r="V867" s="3">
        <v>12</v>
      </c>
      <c r="W867" s="3">
        <v>8</v>
      </c>
      <c r="X867" s="3" t="s">
        <v>4059</v>
      </c>
      <c r="Y867" s="3">
        <v>8</v>
      </c>
      <c r="Z867" s="3">
        <v>0</v>
      </c>
      <c r="AA867" s="3">
        <v>1</v>
      </c>
      <c r="AB867" s="3">
        <v>1</v>
      </c>
      <c r="AC867" s="3">
        <v>14</v>
      </c>
      <c r="AD867" s="3">
        <v>7</v>
      </c>
      <c r="AE867" s="3">
        <v>14</v>
      </c>
      <c r="AF867" s="3" t="s">
        <v>0</v>
      </c>
      <c r="AG867" s="3" t="s">
        <v>49</v>
      </c>
    </row>
    <row r="868" spans="1:33" ht="76.5" x14ac:dyDescent="0.2">
      <c r="A868" s="5" t="str">
        <f>HYPERLINK("http://www.patentics.cn/invokexml.do?sf=ShowPatent&amp;spn=US9179385&amp;sv=4275175054e2b88e17900c3b51fc6d0b","US9179385")</f>
        <v>US9179385</v>
      </c>
      <c r="B868" s="3" t="s">
        <v>4060</v>
      </c>
      <c r="C868" s="3" t="s">
        <v>4053</v>
      </c>
      <c r="D868" s="3" t="s">
        <v>52</v>
      </c>
      <c r="E868" s="3" t="s">
        <v>52</v>
      </c>
      <c r="F868" s="3" t="s">
        <v>4061</v>
      </c>
      <c r="G868" s="3" t="s">
        <v>4055</v>
      </c>
      <c r="H868" s="3" t="s">
        <v>4056</v>
      </c>
      <c r="I868" s="3" t="s">
        <v>4062</v>
      </c>
      <c r="J868" s="3" t="s">
        <v>269</v>
      </c>
      <c r="K868" s="3" t="s">
        <v>82</v>
      </c>
      <c r="L868" s="3" t="s">
        <v>4063</v>
      </c>
      <c r="M868" s="3" t="s">
        <v>82</v>
      </c>
      <c r="N868" s="3" t="s">
        <v>4064</v>
      </c>
      <c r="O868" s="3">
        <v>0</v>
      </c>
      <c r="P868" s="3">
        <v>11</v>
      </c>
      <c r="Q868" s="3" t="s">
        <v>60</v>
      </c>
      <c r="R868" s="3" t="s">
        <v>61</v>
      </c>
      <c r="S868" s="3">
        <v>29</v>
      </c>
      <c r="T868" s="3">
        <v>7</v>
      </c>
      <c r="U868" s="3">
        <v>22</v>
      </c>
      <c r="V868" s="3">
        <v>13</v>
      </c>
      <c r="W868" s="3">
        <v>0</v>
      </c>
      <c r="X868" s="3" t="s">
        <v>147</v>
      </c>
      <c r="Y868" s="3">
        <v>0</v>
      </c>
      <c r="Z868" s="3">
        <v>0</v>
      </c>
      <c r="AA868" s="3">
        <v>0</v>
      </c>
      <c r="AB868" s="3">
        <v>0</v>
      </c>
      <c r="AC868" s="3">
        <v>14</v>
      </c>
      <c r="AD868" s="3">
        <v>7</v>
      </c>
      <c r="AE868" s="3">
        <v>14</v>
      </c>
      <c r="AF868" s="3" t="s">
        <v>0</v>
      </c>
      <c r="AG868" s="3" t="s">
        <v>49</v>
      </c>
    </row>
    <row r="869" spans="1:33" ht="38.25" x14ac:dyDescent="0.2">
      <c r="A869" s="5" t="str">
        <f>HYPERLINK("http://www.patentics.cn/invokexml.do?sf=ShowPatent&amp;spn=CN101897214B&amp;sv=9774b2650c5ab86a65fb452bad790ebf","CN101897214B")</f>
        <v>CN101897214B</v>
      </c>
      <c r="B869" s="3" t="s">
        <v>4065</v>
      </c>
      <c r="C869" s="3" t="s">
        <v>4066</v>
      </c>
      <c r="D869" s="3" t="s">
        <v>338</v>
      </c>
      <c r="E869" s="3" t="s">
        <v>338</v>
      </c>
      <c r="F869" s="3" t="s">
        <v>4067</v>
      </c>
      <c r="G869" s="3" t="s">
        <v>4068</v>
      </c>
      <c r="H869" s="3" t="s">
        <v>4056</v>
      </c>
      <c r="I869" s="3" t="s">
        <v>4069</v>
      </c>
      <c r="J869" s="3" t="s">
        <v>4070</v>
      </c>
      <c r="K869" s="3" t="s">
        <v>82</v>
      </c>
      <c r="L869" s="3" t="s">
        <v>4071</v>
      </c>
      <c r="M869" s="3" t="s">
        <v>0</v>
      </c>
      <c r="N869" s="3" t="s">
        <v>0</v>
      </c>
      <c r="O869" s="3">
        <v>28</v>
      </c>
      <c r="P869" s="3">
        <v>17</v>
      </c>
      <c r="Q869" s="3" t="s">
        <v>60</v>
      </c>
      <c r="R869" s="3" t="s">
        <v>61</v>
      </c>
      <c r="S869" s="3">
        <v>3</v>
      </c>
      <c r="T869" s="3">
        <v>1</v>
      </c>
      <c r="U869" s="3">
        <v>2</v>
      </c>
      <c r="V869" s="3">
        <v>3</v>
      </c>
      <c r="W869" s="3">
        <v>0</v>
      </c>
      <c r="X869" s="3" t="s">
        <v>147</v>
      </c>
      <c r="Y869" s="3">
        <v>0</v>
      </c>
      <c r="Z869" s="3">
        <v>0</v>
      </c>
      <c r="AA869" s="3">
        <v>0</v>
      </c>
      <c r="AB869" s="3">
        <v>0</v>
      </c>
      <c r="AC869" s="3">
        <v>14</v>
      </c>
      <c r="AD869" s="3">
        <v>7</v>
      </c>
      <c r="AE869" s="3">
        <v>14</v>
      </c>
      <c r="AF869" s="3" t="s">
        <v>0</v>
      </c>
      <c r="AG869" s="3" t="s">
        <v>49</v>
      </c>
    </row>
    <row r="870" spans="1:33" ht="25.5" x14ac:dyDescent="0.2">
      <c r="A870" s="4" t="str">
        <f>HYPERLINK("http://www.patentics.cn/invokexml.do?sf=ShowPatent&amp;spn=CN1909718&amp;sv=ed478cef94e51fefcc66960601205f92","CN1909718")</f>
        <v>CN1909718</v>
      </c>
      <c r="B870" s="2" t="s">
        <v>4072</v>
      </c>
      <c r="C870" s="2" t="s">
        <v>4073</v>
      </c>
      <c r="D870" s="2" t="s">
        <v>38</v>
      </c>
      <c r="E870" s="2" t="s">
        <v>38</v>
      </c>
      <c r="F870" s="2" t="s">
        <v>4074</v>
      </c>
      <c r="G870" s="2" t="s">
        <v>4074</v>
      </c>
      <c r="H870" s="2" t="s">
        <v>4075</v>
      </c>
      <c r="I870" s="2" t="s">
        <v>4075</v>
      </c>
      <c r="J870" s="2" t="s">
        <v>4076</v>
      </c>
      <c r="K870" s="2" t="s">
        <v>43</v>
      </c>
      <c r="L870" s="2" t="s">
        <v>2591</v>
      </c>
      <c r="M870" s="2" t="s">
        <v>58</v>
      </c>
      <c r="N870" s="2" t="s">
        <v>1785</v>
      </c>
      <c r="O870" s="2">
        <v>7</v>
      </c>
      <c r="P870" s="2">
        <v>8</v>
      </c>
      <c r="Q870" s="2" t="s">
        <v>46</v>
      </c>
      <c r="R870" s="2" t="s">
        <v>47</v>
      </c>
      <c r="S870" s="2">
        <v>0</v>
      </c>
      <c r="T870" s="2">
        <v>0</v>
      </c>
      <c r="U870" s="2">
        <v>0</v>
      </c>
      <c r="V870" s="2">
        <v>0</v>
      </c>
      <c r="W870" s="2">
        <v>9</v>
      </c>
      <c r="X870" s="2" t="s">
        <v>4077</v>
      </c>
      <c r="Y870" s="2">
        <v>3</v>
      </c>
      <c r="Z870" s="2">
        <v>6</v>
      </c>
      <c r="AA870" s="2">
        <v>3</v>
      </c>
      <c r="AB870" s="2">
        <v>3</v>
      </c>
      <c r="AC870" s="2">
        <v>1</v>
      </c>
      <c r="AD870" s="2">
        <v>1</v>
      </c>
      <c r="AE870" s="2" t="s">
        <v>0</v>
      </c>
      <c r="AF870" s="2">
        <v>3</v>
      </c>
      <c r="AG870" s="2" t="s">
        <v>49</v>
      </c>
    </row>
    <row r="871" spans="1:33" ht="89.25" x14ac:dyDescent="0.2">
      <c r="A871" s="5" t="str">
        <f>HYPERLINK("http://www.patentics.cn/invokexml.do?sf=ShowPatent&amp;spn=US8526442&amp;sv=593cb4fbfa21e0256f0b05455c30c1d9","US8526442")</f>
        <v>US8526442</v>
      </c>
      <c r="B871" s="3" t="s">
        <v>3845</v>
      </c>
      <c r="C871" s="3" t="s">
        <v>3846</v>
      </c>
      <c r="D871" s="3" t="s">
        <v>52</v>
      </c>
      <c r="E871" s="3" t="s">
        <v>52</v>
      </c>
      <c r="F871" s="3" t="s">
        <v>3847</v>
      </c>
      <c r="G871" s="3" t="s">
        <v>790</v>
      </c>
      <c r="H871" s="3" t="s">
        <v>3848</v>
      </c>
      <c r="I871" s="3" t="s">
        <v>3848</v>
      </c>
      <c r="J871" s="3" t="s">
        <v>3849</v>
      </c>
      <c r="K871" s="3" t="s">
        <v>58</v>
      </c>
      <c r="L871" s="3" t="s">
        <v>289</v>
      </c>
      <c r="M871" s="3" t="s">
        <v>82</v>
      </c>
      <c r="N871" s="3" t="s">
        <v>3850</v>
      </c>
      <c r="O871" s="3">
        <v>0</v>
      </c>
      <c r="P871" s="3">
        <v>13</v>
      </c>
      <c r="Q871" s="3" t="s">
        <v>60</v>
      </c>
      <c r="R871" s="3" t="s">
        <v>61</v>
      </c>
      <c r="S871" s="3">
        <v>48</v>
      </c>
      <c r="T871" s="3">
        <v>7</v>
      </c>
      <c r="U871" s="3">
        <v>41</v>
      </c>
      <c r="V871" s="3">
        <v>26</v>
      </c>
      <c r="W871" s="3">
        <v>1</v>
      </c>
      <c r="X871" s="3" t="s">
        <v>1232</v>
      </c>
      <c r="Y871" s="3">
        <v>0</v>
      </c>
      <c r="Z871" s="3">
        <v>1</v>
      </c>
      <c r="AA871" s="3">
        <v>1</v>
      </c>
      <c r="AB871" s="3">
        <v>1</v>
      </c>
      <c r="AC871" s="3">
        <v>10</v>
      </c>
      <c r="AD871" s="3">
        <v>7</v>
      </c>
      <c r="AE871" s="3">
        <v>14</v>
      </c>
      <c r="AF871" s="3" t="s">
        <v>0</v>
      </c>
      <c r="AG871" s="3" t="s">
        <v>49</v>
      </c>
    </row>
    <row r="872" spans="1:33" ht="89.25" x14ac:dyDescent="0.2">
      <c r="A872" s="5" t="str">
        <f>HYPERLINK("http://www.patentics.cn/invokexml.do?sf=ShowPatent&amp;spn=US9084231&amp;sv=7fe110bc81ffb7cc422384a0b2b3dda6","US9084231")</f>
        <v>US9084231</v>
      </c>
      <c r="B872" s="3" t="s">
        <v>3851</v>
      </c>
      <c r="C872" s="3" t="s">
        <v>3852</v>
      </c>
      <c r="D872" s="3" t="s">
        <v>52</v>
      </c>
      <c r="E872" s="3" t="s">
        <v>52</v>
      </c>
      <c r="F872" s="3" t="s">
        <v>3847</v>
      </c>
      <c r="G872" s="3" t="s">
        <v>790</v>
      </c>
      <c r="H872" s="3" t="s">
        <v>3848</v>
      </c>
      <c r="I872" s="3" t="s">
        <v>3848</v>
      </c>
      <c r="J872" s="3" t="s">
        <v>2926</v>
      </c>
      <c r="K872" s="3" t="s">
        <v>82</v>
      </c>
      <c r="L872" s="3" t="s">
        <v>83</v>
      </c>
      <c r="M872" s="3" t="s">
        <v>0</v>
      </c>
      <c r="N872" s="3" t="s">
        <v>0</v>
      </c>
      <c r="O872" s="3">
        <v>0</v>
      </c>
      <c r="P872" s="3">
        <v>9</v>
      </c>
      <c r="Q872" s="3" t="s">
        <v>60</v>
      </c>
      <c r="R872" s="3" t="s">
        <v>61</v>
      </c>
      <c r="S872" s="3">
        <v>64</v>
      </c>
      <c r="T872" s="3">
        <v>7</v>
      </c>
      <c r="U872" s="3">
        <v>57</v>
      </c>
      <c r="V872" s="3">
        <v>31</v>
      </c>
      <c r="W872" s="3">
        <v>0</v>
      </c>
      <c r="X872" s="3" t="s">
        <v>147</v>
      </c>
      <c r="Y872" s="3">
        <v>0</v>
      </c>
      <c r="Z872" s="3">
        <v>0</v>
      </c>
      <c r="AA872" s="3">
        <v>0</v>
      </c>
      <c r="AB872" s="3">
        <v>0</v>
      </c>
      <c r="AC872" s="3">
        <v>11</v>
      </c>
      <c r="AD872" s="3">
        <v>7</v>
      </c>
      <c r="AE872" s="3">
        <v>14</v>
      </c>
      <c r="AF872" s="3" t="s">
        <v>0</v>
      </c>
      <c r="AG872" s="3" t="s">
        <v>49</v>
      </c>
    </row>
    <row r="873" spans="1:33" ht="51" x14ac:dyDescent="0.2">
      <c r="A873" s="5" t="str">
        <f>HYPERLINK("http://www.patentics.cn/invokexml.do?sf=ShowPatent&amp;spn=CN101971691B&amp;sv=93907c77def63ab1baf67c6d0a00803a","CN101971691B")</f>
        <v>CN101971691B</v>
      </c>
      <c r="B873" s="3" t="s">
        <v>4078</v>
      </c>
      <c r="C873" s="3" t="s">
        <v>4079</v>
      </c>
      <c r="D873" s="3" t="s">
        <v>338</v>
      </c>
      <c r="E873" s="3" t="s">
        <v>338</v>
      </c>
      <c r="F873" s="3" t="s">
        <v>3855</v>
      </c>
      <c r="G873" s="3" t="s">
        <v>3856</v>
      </c>
      <c r="H873" s="3" t="s">
        <v>3848</v>
      </c>
      <c r="I873" s="3" t="s">
        <v>3857</v>
      </c>
      <c r="J873" s="3" t="s">
        <v>4080</v>
      </c>
      <c r="K873" s="3" t="s">
        <v>58</v>
      </c>
      <c r="L873" s="3" t="s">
        <v>4081</v>
      </c>
      <c r="M873" s="3" t="s">
        <v>0</v>
      </c>
      <c r="N873" s="3" t="s">
        <v>0</v>
      </c>
      <c r="O873" s="3">
        <v>24</v>
      </c>
      <c r="P873" s="3">
        <v>16</v>
      </c>
      <c r="Q873" s="3" t="s">
        <v>60</v>
      </c>
      <c r="R873" s="3" t="s">
        <v>61</v>
      </c>
      <c r="S873" s="3">
        <v>4</v>
      </c>
      <c r="T873" s="3">
        <v>0</v>
      </c>
      <c r="U873" s="3">
        <v>4</v>
      </c>
      <c r="V873" s="3">
        <v>4</v>
      </c>
      <c r="W873" s="3">
        <v>0</v>
      </c>
      <c r="X873" s="3" t="s">
        <v>147</v>
      </c>
      <c r="Y873" s="3">
        <v>0</v>
      </c>
      <c r="Z873" s="3">
        <v>0</v>
      </c>
      <c r="AA873" s="3">
        <v>0</v>
      </c>
      <c r="AB873" s="3">
        <v>0</v>
      </c>
      <c r="AC873" s="3">
        <v>11</v>
      </c>
      <c r="AD873" s="3">
        <v>7</v>
      </c>
      <c r="AE873" s="3">
        <v>14</v>
      </c>
      <c r="AF873" s="3" t="s">
        <v>0</v>
      </c>
      <c r="AG873" s="3" t="s">
        <v>49</v>
      </c>
    </row>
    <row r="874" spans="1:33" ht="25.5" x14ac:dyDescent="0.2">
      <c r="A874" s="4" t="str">
        <f>HYPERLINK("http://www.patentics.cn/invokexml.do?sf=ShowPatent&amp;spn=CN1783763&amp;sv=1d9726509b325065dc52f3c8a735402b","CN1783763")</f>
        <v>CN1783763</v>
      </c>
      <c r="B874" s="2" t="s">
        <v>4082</v>
      </c>
      <c r="C874" s="2" t="s">
        <v>4083</v>
      </c>
      <c r="D874" s="2" t="s">
        <v>38</v>
      </c>
      <c r="E874" s="2" t="s">
        <v>38</v>
      </c>
      <c r="F874" s="2" t="s">
        <v>4084</v>
      </c>
      <c r="G874" s="2" t="s">
        <v>4084</v>
      </c>
      <c r="H874" s="2" t="s">
        <v>4085</v>
      </c>
      <c r="I874" s="2" t="s">
        <v>4085</v>
      </c>
      <c r="J874" s="2" t="s">
        <v>4086</v>
      </c>
      <c r="K874" s="2" t="s">
        <v>70</v>
      </c>
      <c r="L874" s="2" t="s">
        <v>4087</v>
      </c>
      <c r="M874" s="2" t="s">
        <v>95</v>
      </c>
      <c r="N874" s="2" t="s">
        <v>4088</v>
      </c>
      <c r="O874" s="2">
        <v>4</v>
      </c>
      <c r="P874" s="2">
        <v>36</v>
      </c>
      <c r="Q874" s="2" t="s">
        <v>46</v>
      </c>
      <c r="R874" s="2" t="s">
        <v>47</v>
      </c>
      <c r="S874" s="2">
        <v>0</v>
      </c>
      <c r="T874" s="2">
        <v>0</v>
      </c>
      <c r="U874" s="2">
        <v>0</v>
      </c>
      <c r="V874" s="2">
        <v>0</v>
      </c>
      <c r="W874" s="2">
        <v>4</v>
      </c>
      <c r="X874" s="2" t="s">
        <v>2204</v>
      </c>
      <c r="Y874" s="2">
        <v>0</v>
      </c>
      <c r="Z874" s="2">
        <v>4</v>
      </c>
      <c r="AA874" s="2">
        <v>2</v>
      </c>
      <c r="AB874" s="2">
        <v>2</v>
      </c>
      <c r="AC874" s="2">
        <v>1</v>
      </c>
      <c r="AD874" s="2">
        <v>1</v>
      </c>
      <c r="AE874" s="2" t="s">
        <v>0</v>
      </c>
      <c r="AF874" s="2">
        <v>3</v>
      </c>
      <c r="AG874" s="2" t="s">
        <v>49</v>
      </c>
    </row>
    <row r="875" spans="1:33" ht="38.25" x14ac:dyDescent="0.2">
      <c r="A875" s="5" t="str">
        <f>HYPERLINK("http://www.patentics.cn/invokexml.do?sf=ShowPatent&amp;spn=US8848913&amp;sv=77fb14e62f79226a05f370d4662c402f","US8848913")</f>
        <v>US8848913</v>
      </c>
      <c r="B875" s="3" t="s">
        <v>4089</v>
      </c>
      <c r="C875" s="3" t="s">
        <v>4090</v>
      </c>
      <c r="D875" s="3" t="s">
        <v>52</v>
      </c>
      <c r="E875" s="3" t="s">
        <v>52</v>
      </c>
      <c r="F875" s="3" t="s">
        <v>4091</v>
      </c>
      <c r="G875" s="3" t="s">
        <v>2871</v>
      </c>
      <c r="H875" s="3" t="s">
        <v>4092</v>
      </c>
      <c r="I875" s="3" t="s">
        <v>3464</v>
      </c>
      <c r="J875" s="3" t="s">
        <v>1481</v>
      </c>
      <c r="K875" s="3" t="s">
        <v>58</v>
      </c>
      <c r="L875" s="3" t="s">
        <v>4093</v>
      </c>
      <c r="M875" s="3" t="s">
        <v>555</v>
      </c>
      <c r="N875" s="3" t="s">
        <v>4094</v>
      </c>
      <c r="O875" s="3">
        <v>0</v>
      </c>
      <c r="P875" s="3">
        <v>12</v>
      </c>
      <c r="Q875" s="3" t="s">
        <v>60</v>
      </c>
      <c r="R875" s="3" t="s">
        <v>61</v>
      </c>
      <c r="S875" s="3">
        <v>57</v>
      </c>
      <c r="T875" s="3">
        <v>16</v>
      </c>
      <c r="U875" s="3">
        <v>41</v>
      </c>
      <c r="V875" s="3">
        <v>22</v>
      </c>
      <c r="W875" s="3">
        <v>1</v>
      </c>
      <c r="X875" s="3" t="s">
        <v>147</v>
      </c>
      <c r="Y875" s="3">
        <v>1</v>
      </c>
      <c r="Z875" s="3">
        <v>0</v>
      </c>
      <c r="AA875" s="3">
        <v>1</v>
      </c>
      <c r="AB875" s="3">
        <v>1</v>
      </c>
      <c r="AC875" s="3">
        <v>23</v>
      </c>
      <c r="AD875" s="3">
        <v>9</v>
      </c>
      <c r="AE875" s="3">
        <v>14</v>
      </c>
      <c r="AF875" s="3" t="s">
        <v>0</v>
      </c>
      <c r="AG875" s="3" t="s">
        <v>49</v>
      </c>
    </row>
    <row r="876" spans="1:33" ht="76.5" x14ac:dyDescent="0.2">
      <c r="A876" s="5" t="str">
        <f>HYPERLINK("http://www.patentics.cn/invokexml.do?sf=ShowPatent&amp;spn=US8923249&amp;sv=c9148d98cd38f0af5763cab559bc912d","US8923249")</f>
        <v>US8923249</v>
      </c>
      <c r="B876" s="3" t="s">
        <v>4095</v>
      </c>
      <c r="C876" s="3" t="s">
        <v>4096</v>
      </c>
      <c r="D876" s="3" t="s">
        <v>52</v>
      </c>
      <c r="E876" s="3" t="s">
        <v>52</v>
      </c>
      <c r="F876" s="3" t="s">
        <v>4097</v>
      </c>
      <c r="G876" s="3" t="s">
        <v>4098</v>
      </c>
      <c r="H876" s="3" t="s">
        <v>4099</v>
      </c>
      <c r="I876" s="3" t="s">
        <v>4100</v>
      </c>
      <c r="J876" s="3" t="s">
        <v>2248</v>
      </c>
      <c r="K876" s="3" t="s">
        <v>84</v>
      </c>
      <c r="L876" s="3" t="s">
        <v>114</v>
      </c>
      <c r="M876" s="3" t="s">
        <v>58</v>
      </c>
      <c r="N876" s="3" t="s">
        <v>4101</v>
      </c>
      <c r="O876" s="3">
        <v>0</v>
      </c>
      <c r="P876" s="3">
        <v>17</v>
      </c>
      <c r="Q876" s="3" t="s">
        <v>60</v>
      </c>
      <c r="R876" s="3" t="s">
        <v>61</v>
      </c>
      <c r="S876" s="3">
        <v>58</v>
      </c>
      <c r="T876" s="3">
        <v>15</v>
      </c>
      <c r="U876" s="3">
        <v>43</v>
      </c>
      <c r="V876" s="3">
        <v>23</v>
      </c>
      <c r="W876" s="3">
        <v>2</v>
      </c>
      <c r="X876" s="3" t="s">
        <v>1186</v>
      </c>
      <c r="Y876" s="3">
        <v>0</v>
      </c>
      <c r="Z876" s="3">
        <v>2</v>
      </c>
      <c r="AA876" s="3">
        <v>1</v>
      </c>
      <c r="AB876" s="3">
        <v>1</v>
      </c>
      <c r="AC876" s="3">
        <v>18</v>
      </c>
      <c r="AD876" s="3">
        <v>13</v>
      </c>
      <c r="AE876" s="3">
        <v>14</v>
      </c>
      <c r="AF876" s="3" t="s">
        <v>0</v>
      </c>
      <c r="AG876" s="3" t="s">
        <v>49</v>
      </c>
    </row>
    <row r="877" spans="1:33" ht="38.25" x14ac:dyDescent="0.2">
      <c r="A877" s="5" t="str">
        <f>HYPERLINK("http://www.patentics.cn/invokexml.do?sf=ShowPatent&amp;spn=US9622246&amp;sv=3b2464ab382849da53cff1a58a27a6e5","US9622246")</f>
        <v>US9622246</v>
      </c>
      <c r="B877" s="3" t="s">
        <v>4102</v>
      </c>
      <c r="C877" s="3" t="s">
        <v>4090</v>
      </c>
      <c r="D877" s="3" t="s">
        <v>52</v>
      </c>
      <c r="E877" s="3" t="s">
        <v>52</v>
      </c>
      <c r="F877" s="3" t="s">
        <v>4091</v>
      </c>
      <c r="G877" s="3" t="s">
        <v>2871</v>
      </c>
      <c r="H877" s="3" t="s">
        <v>0</v>
      </c>
      <c r="I877" s="3" t="s">
        <v>4103</v>
      </c>
      <c r="J877" s="3" t="s">
        <v>3388</v>
      </c>
      <c r="K877" s="3" t="s">
        <v>70</v>
      </c>
      <c r="L877" s="3" t="s">
        <v>71</v>
      </c>
      <c r="M877" s="3" t="s">
        <v>82</v>
      </c>
      <c r="N877" s="3" t="s">
        <v>4104</v>
      </c>
      <c r="O877" s="3">
        <v>0</v>
      </c>
      <c r="P877" s="3">
        <v>11</v>
      </c>
      <c r="Q877" s="3" t="s">
        <v>60</v>
      </c>
      <c r="R877" s="3" t="s">
        <v>61</v>
      </c>
      <c r="S877" s="3">
        <v>78</v>
      </c>
      <c r="T877" s="3">
        <v>23</v>
      </c>
      <c r="U877" s="3">
        <v>55</v>
      </c>
      <c r="V877" s="3">
        <v>30</v>
      </c>
      <c r="W877" s="3">
        <v>0</v>
      </c>
      <c r="X877" s="3" t="s">
        <v>147</v>
      </c>
      <c r="Y877" s="3">
        <v>0</v>
      </c>
      <c r="Z877" s="3">
        <v>0</v>
      </c>
      <c r="AA877" s="3">
        <v>0</v>
      </c>
      <c r="AB877" s="3">
        <v>0</v>
      </c>
      <c r="AC877" s="3">
        <v>0</v>
      </c>
      <c r="AD877" s="3">
        <v>0</v>
      </c>
      <c r="AE877" s="3">
        <v>14</v>
      </c>
      <c r="AF877" s="3" t="s">
        <v>0</v>
      </c>
      <c r="AG877" s="3" t="s">
        <v>49</v>
      </c>
    </row>
    <row r="878" spans="1:33" ht="38.25" x14ac:dyDescent="0.2">
      <c r="A878" s="4" t="str">
        <f>HYPERLINK("http://www.patentics.cn/invokexml.do?sf=ShowPatent&amp;spn=CN1665342&amp;sv=2db67dbcfdce1148ab906bb17ea70cc1","CN1665342")</f>
        <v>CN1665342</v>
      </c>
      <c r="B878" s="2" t="s">
        <v>4105</v>
      </c>
      <c r="C878" s="2" t="s">
        <v>4106</v>
      </c>
      <c r="D878" s="2" t="s">
        <v>38</v>
      </c>
      <c r="E878" s="2" t="s">
        <v>38</v>
      </c>
      <c r="F878" s="2" t="s">
        <v>4107</v>
      </c>
      <c r="G878" s="2" t="s">
        <v>4108</v>
      </c>
      <c r="H878" s="2" t="s">
        <v>4109</v>
      </c>
      <c r="I878" s="2" t="s">
        <v>4109</v>
      </c>
      <c r="J878" s="2" t="s">
        <v>4110</v>
      </c>
      <c r="K878" s="2" t="s">
        <v>43</v>
      </c>
      <c r="L878" s="2" t="s">
        <v>2591</v>
      </c>
      <c r="M878" s="2" t="s">
        <v>58</v>
      </c>
      <c r="N878" s="2" t="s">
        <v>1785</v>
      </c>
      <c r="O878" s="2">
        <v>10</v>
      </c>
      <c r="P878" s="2">
        <v>22</v>
      </c>
      <c r="Q878" s="2" t="s">
        <v>46</v>
      </c>
      <c r="R878" s="2" t="s">
        <v>47</v>
      </c>
      <c r="S878" s="2">
        <v>0</v>
      </c>
      <c r="T878" s="2">
        <v>0</v>
      </c>
      <c r="U878" s="2">
        <v>0</v>
      </c>
      <c r="V878" s="2">
        <v>0</v>
      </c>
      <c r="W878" s="2">
        <v>20</v>
      </c>
      <c r="X878" s="2" t="s">
        <v>4111</v>
      </c>
      <c r="Y878" s="2">
        <v>1</v>
      </c>
      <c r="Z878" s="2">
        <v>19</v>
      </c>
      <c r="AA878" s="2">
        <v>7</v>
      </c>
      <c r="AB878" s="2">
        <v>4</v>
      </c>
      <c r="AC878" s="2">
        <v>1</v>
      </c>
      <c r="AD878" s="2">
        <v>1</v>
      </c>
      <c r="AE878" s="2" t="s">
        <v>0</v>
      </c>
      <c r="AF878" s="2">
        <v>3</v>
      </c>
      <c r="AG878" s="2" t="s">
        <v>755</v>
      </c>
    </row>
    <row r="879" spans="1:33" ht="63.75" x14ac:dyDescent="0.2">
      <c r="A879" s="5" t="str">
        <f>HYPERLINK("http://www.patentics.cn/invokexml.do?sf=ShowPatent&amp;spn=US8885605&amp;sv=4d404b0fd6a575df5d53e50af32af82d","US8885605")</f>
        <v>US8885605</v>
      </c>
      <c r="B879" s="3" t="s">
        <v>4112</v>
      </c>
      <c r="C879" s="3" t="s">
        <v>4113</v>
      </c>
      <c r="D879" s="3" t="s">
        <v>52</v>
      </c>
      <c r="E879" s="3" t="s">
        <v>52</v>
      </c>
      <c r="F879" s="3" t="s">
        <v>1457</v>
      </c>
      <c r="G879" s="3" t="s">
        <v>1458</v>
      </c>
      <c r="H879" s="3" t="s">
        <v>3051</v>
      </c>
      <c r="I879" s="3" t="s">
        <v>1459</v>
      </c>
      <c r="J879" s="3" t="s">
        <v>196</v>
      </c>
      <c r="K879" s="3" t="s">
        <v>82</v>
      </c>
      <c r="L879" s="3" t="s">
        <v>83</v>
      </c>
      <c r="M879" s="3" t="s">
        <v>82</v>
      </c>
      <c r="N879" s="3" t="s">
        <v>1529</v>
      </c>
      <c r="O879" s="3">
        <v>0</v>
      </c>
      <c r="P879" s="3">
        <v>15</v>
      </c>
      <c r="Q879" s="3" t="s">
        <v>60</v>
      </c>
      <c r="R879" s="3" t="s">
        <v>61</v>
      </c>
      <c r="S879" s="3">
        <v>19</v>
      </c>
      <c r="T879" s="3">
        <v>1</v>
      </c>
      <c r="U879" s="3">
        <v>18</v>
      </c>
      <c r="V879" s="3">
        <v>11</v>
      </c>
      <c r="W879" s="3">
        <v>0</v>
      </c>
      <c r="X879" s="3" t="s">
        <v>147</v>
      </c>
      <c r="Y879" s="3">
        <v>0</v>
      </c>
      <c r="Z879" s="3">
        <v>0</v>
      </c>
      <c r="AA879" s="3">
        <v>0</v>
      </c>
      <c r="AB879" s="3">
        <v>0</v>
      </c>
      <c r="AC879" s="3">
        <v>4</v>
      </c>
      <c r="AD879" s="3">
        <v>4</v>
      </c>
      <c r="AE879" s="3">
        <v>14</v>
      </c>
      <c r="AF879" s="3" t="s">
        <v>0</v>
      </c>
      <c r="AG879" s="3" t="s">
        <v>49</v>
      </c>
    </row>
    <row r="880" spans="1:33" ht="63.75" x14ac:dyDescent="0.2">
      <c r="A880" s="5" t="str">
        <f>HYPERLINK("http://www.patentics.cn/invokexml.do?sf=ShowPatent&amp;spn=US9094883&amp;sv=ee47bef262fd0668ca375990bc87c952","US9094883")</f>
        <v>US9094883</v>
      </c>
      <c r="B880" s="3" t="s">
        <v>4114</v>
      </c>
      <c r="C880" s="3" t="s">
        <v>4115</v>
      </c>
      <c r="D880" s="3" t="s">
        <v>52</v>
      </c>
      <c r="E880" s="3" t="s">
        <v>52</v>
      </c>
      <c r="F880" s="3" t="s">
        <v>1457</v>
      </c>
      <c r="G880" s="3" t="s">
        <v>1458</v>
      </c>
      <c r="H880" s="3" t="s">
        <v>610</v>
      </c>
      <c r="I880" s="3" t="s">
        <v>4116</v>
      </c>
      <c r="J880" s="3" t="s">
        <v>2214</v>
      </c>
      <c r="K880" s="3" t="s">
        <v>82</v>
      </c>
      <c r="L880" s="3" t="s">
        <v>177</v>
      </c>
      <c r="M880" s="3" t="s">
        <v>0</v>
      </c>
      <c r="N880" s="3" t="s">
        <v>0</v>
      </c>
      <c r="O880" s="3">
        <v>0</v>
      </c>
      <c r="P880" s="3">
        <v>9</v>
      </c>
      <c r="Q880" s="3" t="s">
        <v>60</v>
      </c>
      <c r="R880" s="3" t="s">
        <v>61</v>
      </c>
      <c r="S880" s="3">
        <v>22</v>
      </c>
      <c r="T880" s="3">
        <v>3</v>
      </c>
      <c r="U880" s="3">
        <v>19</v>
      </c>
      <c r="V880" s="3">
        <v>12</v>
      </c>
      <c r="W880" s="3">
        <v>0</v>
      </c>
      <c r="X880" s="3" t="s">
        <v>147</v>
      </c>
      <c r="Y880" s="3">
        <v>0</v>
      </c>
      <c r="Z880" s="3">
        <v>0</v>
      </c>
      <c r="AA880" s="3">
        <v>0</v>
      </c>
      <c r="AB880" s="3">
        <v>0</v>
      </c>
      <c r="AC880" s="3">
        <v>4</v>
      </c>
      <c r="AD880" s="3">
        <v>4</v>
      </c>
      <c r="AE880" s="3">
        <v>14</v>
      </c>
      <c r="AF880" s="3" t="s">
        <v>0</v>
      </c>
      <c r="AG880" s="3" t="s">
        <v>49</v>
      </c>
    </row>
    <row r="881" spans="1:33" ht="25.5" x14ac:dyDescent="0.2">
      <c r="A881" s="5" t="str">
        <f>HYPERLINK("http://www.patentics.cn/invokexml.do?sf=ShowPatent&amp;spn=CN102547893B&amp;sv=3b83182ac9e79b8c042bfdfbb69c1f6c","CN102547893B")</f>
        <v>CN102547893B</v>
      </c>
      <c r="B881" s="3" t="s">
        <v>4117</v>
      </c>
      <c r="C881" s="3" t="s">
        <v>4118</v>
      </c>
      <c r="D881" s="3" t="s">
        <v>338</v>
      </c>
      <c r="E881" s="3" t="s">
        <v>338</v>
      </c>
      <c r="F881" s="3" t="s">
        <v>4119</v>
      </c>
      <c r="G881" s="3" t="s">
        <v>4120</v>
      </c>
      <c r="H881" s="3" t="s">
        <v>1191</v>
      </c>
      <c r="I881" s="3" t="s">
        <v>4121</v>
      </c>
      <c r="J881" s="3" t="s">
        <v>4122</v>
      </c>
      <c r="K881" s="3" t="s">
        <v>82</v>
      </c>
      <c r="L881" s="3" t="s">
        <v>1560</v>
      </c>
      <c r="M881" s="3" t="s">
        <v>0</v>
      </c>
      <c r="N881" s="3" t="s">
        <v>0</v>
      </c>
      <c r="O881" s="3">
        <v>24</v>
      </c>
      <c r="P881" s="3">
        <v>36</v>
      </c>
      <c r="Q881" s="3" t="s">
        <v>60</v>
      </c>
      <c r="R881" s="3" t="s">
        <v>61</v>
      </c>
      <c r="S881" s="3">
        <v>4</v>
      </c>
      <c r="T881" s="3">
        <v>0</v>
      </c>
      <c r="U881" s="3">
        <v>4</v>
      </c>
      <c r="V881" s="3">
        <v>2</v>
      </c>
      <c r="W881" s="3">
        <v>0</v>
      </c>
      <c r="X881" s="3" t="s">
        <v>147</v>
      </c>
      <c r="Y881" s="3">
        <v>0</v>
      </c>
      <c r="Z881" s="3">
        <v>0</v>
      </c>
      <c r="AA881" s="3">
        <v>0</v>
      </c>
      <c r="AB881" s="3">
        <v>0</v>
      </c>
      <c r="AC881" s="3">
        <v>0</v>
      </c>
      <c r="AD881" s="3">
        <v>0</v>
      </c>
      <c r="AE881" s="3">
        <v>14</v>
      </c>
      <c r="AF881" s="3" t="s">
        <v>0</v>
      </c>
      <c r="AG881" s="3" t="s">
        <v>49</v>
      </c>
    </row>
    <row r="882" spans="1:33" ht="25.5" x14ac:dyDescent="0.2">
      <c r="A882" s="4" t="str">
        <f>HYPERLINK("http://www.patentics.cn/invokexml.do?sf=ShowPatent&amp;spn=CN1585385&amp;sv=f13e0fb43f633c057b419d15ae1b261c","CN1585385")</f>
        <v>CN1585385</v>
      </c>
      <c r="B882" s="2" t="s">
        <v>4123</v>
      </c>
      <c r="C882" s="2" t="s">
        <v>4124</v>
      </c>
      <c r="D882" s="2" t="s">
        <v>38</v>
      </c>
      <c r="E882" s="2" t="s">
        <v>38</v>
      </c>
      <c r="F882" s="2" t="s">
        <v>4125</v>
      </c>
      <c r="G882" s="2" t="s">
        <v>4126</v>
      </c>
      <c r="H882" s="2" t="s">
        <v>4127</v>
      </c>
      <c r="I882" s="2" t="s">
        <v>4127</v>
      </c>
      <c r="J882" s="2" t="s">
        <v>4128</v>
      </c>
      <c r="K882" s="2" t="s">
        <v>58</v>
      </c>
      <c r="L882" s="2" t="s">
        <v>1784</v>
      </c>
      <c r="M882" s="2" t="s">
        <v>58</v>
      </c>
      <c r="N882" s="2" t="s">
        <v>4129</v>
      </c>
      <c r="O882" s="2">
        <v>5</v>
      </c>
      <c r="P882" s="2">
        <v>15</v>
      </c>
      <c r="Q882" s="2" t="s">
        <v>46</v>
      </c>
      <c r="R882" s="2" t="s">
        <v>47</v>
      </c>
      <c r="S882" s="2">
        <v>0</v>
      </c>
      <c r="T882" s="2">
        <v>0</v>
      </c>
      <c r="U882" s="2">
        <v>0</v>
      </c>
      <c r="V882" s="2">
        <v>0</v>
      </c>
      <c r="W882" s="2">
        <v>11</v>
      </c>
      <c r="X882" s="2" t="s">
        <v>4130</v>
      </c>
      <c r="Y882" s="2">
        <v>1</v>
      </c>
      <c r="Z882" s="2">
        <v>10</v>
      </c>
      <c r="AA882" s="2">
        <v>3</v>
      </c>
      <c r="AB882" s="2">
        <v>3</v>
      </c>
      <c r="AC882" s="2">
        <v>9</v>
      </c>
      <c r="AD882" s="2">
        <v>6</v>
      </c>
      <c r="AE882" s="2" t="s">
        <v>0</v>
      </c>
      <c r="AF882" s="2">
        <v>3</v>
      </c>
      <c r="AG882" s="2" t="s">
        <v>49</v>
      </c>
    </row>
    <row r="883" spans="1:33" ht="51" x14ac:dyDescent="0.2">
      <c r="A883" s="5" t="str">
        <f>HYPERLINK("http://www.patentics.cn/invokexml.do?sf=ShowPatent&amp;spn=US8811196&amp;sv=a87499c58ed3acd4cb1582718756fc6d","US8811196")</f>
        <v>US8811196</v>
      </c>
      <c r="B883" s="3" t="s">
        <v>4131</v>
      </c>
      <c r="C883" s="3" t="s">
        <v>4132</v>
      </c>
      <c r="D883" s="3" t="s">
        <v>52</v>
      </c>
      <c r="E883" s="3" t="s">
        <v>52</v>
      </c>
      <c r="F883" s="3" t="s">
        <v>4133</v>
      </c>
      <c r="G883" s="3" t="s">
        <v>4134</v>
      </c>
      <c r="H883" s="3" t="s">
        <v>4135</v>
      </c>
      <c r="I883" s="3" t="s">
        <v>4136</v>
      </c>
      <c r="J883" s="3" t="s">
        <v>798</v>
      </c>
      <c r="K883" s="3" t="s">
        <v>1020</v>
      </c>
      <c r="L883" s="3" t="s">
        <v>1021</v>
      </c>
      <c r="M883" s="3" t="s">
        <v>58</v>
      </c>
      <c r="N883" s="3" t="s">
        <v>4137</v>
      </c>
      <c r="O883" s="3">
        <v>0</v>
      </c>
      <c r="P883" s="3">
        <v>22</v>
      </c>
      <c r="Q883" s="3" t="s">
        <v>60</v>
      </c>
      <c r="R883" s="3" t="s">
        <v>61</v>
      </c>
      <c r="S883" s="3">
        <v>23</v>
      </c>
      <c r="T883" s="3">
        <v>3</v>
      </c>
      <c r="U883" s="3">
        <v>20</v>
      </c>
      <c r="V883" s="3">
        <v>17</v>
      </c>
      <c r="W883" s="3">
        <v>1</v>
      </c>
      <c r="X883" s="3" t="s">
        <v>1186</v>
      </c>
      <c r="Y883" s="3">
        <v>0</v>
      </c>
      <c r="Z883" s="3">
        <v>1</v>
      </c>
      <c r="AA883" s="3">
        <v>1</v>
      </c>
      <c r="AB883" s="3">
        <v>1</v>
      </c>
      <c r="AC883" s="3">
        <v>17</v>
      </c>
      <c r="AD883" s="3">
        <v>7</v>
      </c>
      <c r="AE883" s="3">
        <v>14</v>
      </c>
      <c r="AF883" s="3" t="s">
        <v>0</v>
      </c>
      <c r="AG883" s="3" t="s">
        <v>49</v>
      </c>
    </row>
    <row r="884" spans="1:33" ht="38.25" x14ac:dyDescent="0.2">
      <c r="A884" s="5" t="str">
        <f>HYPERLINK("http://www.patentics.cn/invokexml.do?sf=ShowPatent&amp;spn=US9088430&amp;sv=6d0ae0f940d5b3d05efd85a658be5ed1","US9088430")</f>
        <v>US9088430</v>
      </c>
      <c r="B884" s="3" t="s">
        <v>4138</v>
      </c>
      <c r="C884" s="3" t="s">
        <v>4139</v>
      </c>
      <c r="D884" s="3" t="s">
        <v>52</v>
      </c>
      <c r="E884" s="3" t="s">
        <v>52</v>
      </c>
      <c r="F884" s="3" t="s">
        <v>4134</v>
      </c>
      <c r="G884" s="3" t="s">
        <v>4134</v>
      </c>
      <c r="H884" s="3" t="s">
        <v>4135</v>
      </c>
      <c r="I884" s="3" t="s">
        <v>4136</v>
      </c>
      <c r="J884" s="3" t="s">
        <v>212</v>
      </c>
      <c r="K884" s="3" t="s">
        <v>58</v>
      </c>
      <c r="L884" s="3" t="s">
        <v>763</v>
      </c>
      <c r="M884" s="3" t="s">
        <v>0</v>
      </c>
      <c r="N884" s="3" t="s">
        <v>0</v>
      </c>
      <c r="O884" s="3">
        <v>0</v>
      </c>
      <c r="P884" s="3">
        <v>11</v>
      </c>
      <c r="Q884" s="3" t="s">
        <v>60</v>
      </c>
      <c r="R884" s="3" t="s">
        <v>61</v>
      </c>
      <c r="S884" s="3">
        <v>25</v>
      </c>
      <c r="T884" s="3">
        <v>3</v>
      </c>
      <c r="U884" s="3">
        <v>22</v>
      </c>
      <c r="V884" s="3">
        <v>18</v>
      </c>
      <c r="W884" s="3">
        <v>1</v>
      </c>
      <c r="X884" s="3" t="s">
        <v>1186</v>
      </c>
      <c r="Y884" s="3">
        <v>0</v>
      </c>
      <c r="Z884" s="3">
        <v>1</v>
      </c>
      <c r="AA884" s="3">
        <v>1</v>
      </c>
      <c r="AB884" s="3">
        <v>1</v>
      </c>
      <c r="AC884" s="3">
        <v>17</v>
      </c>
      <c r="AD884" s="3">
        <v>7</v>
      </c>
      <c r="AE884" s="3">
        <v>14</v>
      </c>
      <c r="AF884" s="3" t="s">
        <v>0</v>
      </c>
      <c r="AG884" s="3" t="s">
        <v>49</v>
      </c>
    </row>
    <row r="885" spans="1:33" ht="38.25" x14ac:dyDescent="0.2">
      <c r="A885" s="5" t="str">
        <f>HYPERLINK("http://www.patentics.cn/invokexml.do?sf=ShowPatent&amp;spn=CN101981900B&amp;sv=3bdb56c2f3990d83422111dc1b117246","CN101981900B")</f>
        <v>CN101981900B</v>
      </c>
      <c r="B885" s="3" t="s">
        <v>4140</v>
      </c>
      <c r="C885" s="3" t="s">
        <v>4141</v>
      </c>
      <c r="D885" s="3" t="s">
        <v>338</v>
      </c>
      <c r="E885" s="3" t="s">
        <v>338</v>
      </c>
      <c r="F885" s="3" t="s">
        <v>4142</v>
      </c>
      <c r="G885" s="3" t="s">
        <v>4143</v>
      </c>
      <c r="H885" s="3" t="s">
        <v>4135</v>
      </c>
      <c r="I885" s="3" t="s">
        <v>168</v>
      </c>
      <c r="J885" s="3" t="s">
        <v>4144</v>
      </c>
      <c r="K885" s="3" t="s">
        <v>58</v>
      </c>
      <c r="L885" s="3" t="s">
        <v>4145</v>
      </c>
      <c r="M885" s="3" t="s">
        <v>0</v>
      </c>
      <c r="N885" s="3" t="s">
        <v>0</v>
      </c>
      <c r="O885" s="3">
        <v>46</v>
      </c>
      <c r="P885" s="3">
        <v>25</v>
      </c>
      <c r="Q885" s="3" t="s">
        <v>60</v>
      </c>
      <c r="R885" s="3" t="s">
        <v>61</v>
      </c>
      <c r="S885" s="3">
        <v>6</v>
      </c>
      <c r="T885" s="3">
        <v>1</v>
      </c>
      <c r="U885" s="3">
        <v>5</v>
      </c>
      <c r="V885" s="3">
        <v>5</v>
      </c>
      <c r="W885" s="3">
        <v>0</v>
      </c>
      <c r="X885" s="3" t="s">
        <v>147</v>
      </c>
      <c r="Y885" s="3">
        <v>0</v>
      </c>
      <c r="Z885" s="3">
        <v>0</v>
      </c>
      <c r="AA885" s="3">
        <v>0</v>
      </c>
      <c r="AB885" s="3">
        <v>0</v>
      </c>
      <c r="AC885" s="3">
        <v>17</v>
      </c>
      <c r="AD885" s="3">
        <v>7</v>
      </c>
      <c r="AE885" s="3">
        <v>14</v>
      </c>
      <c r="AF885" s="3" t="s">
        <v>0</v>
      </c>
      <c r="AG885" s="3" t="s">
        <v>49</v>
      </c>
    </row>
    <row r="886" spans="1:33" ht="102" x14ac:dyDescent="0.2">
      <c r="A886" s="4" t="str">
        <f>HYPERLINK("http://www.patentics.cn/invokexml.do?sf=ShowPatent&amp;spn=US20120257551&amp;sv=f2088c4fc55ec00a174158e64f69e928","US20120257551")</f>
        <v>US20120257551</v>
      </c>
      <c r="B886" s="2" t="s">
        <v>4146</v>
      </c>
      <c r="C886" s="2" t="s">
        <v>4147</v>
      </c>
      <c r="D886" s="2" t="s">
        <v>346</v>
      </c>
      <c r="E886" s="2" t="s">
        <v>346</v>
      </c>
      <c r="F886" s="2" t="s">
        <v>4148</v>
      </c>
      <c r="G886" s="2" t="s">
        <v>4149</v>
      </c>
      <c r="H886" s="2" t="s">
        <v>4150</v>
      </c>
      <c r="I886" s="2" t="s">
        <v>4151</v>
      </c>
      <c r="J886" s="2" t="s">
        <v>2678</v>
      </c>
      <c r="K886" s="2" t="s">
        <v>70</v>
      </c>
      <c r="L886" s="2" t="s">
        <v>4152</v>
      </c>
      <c r="M886" s="2" t="s">
        <v>0</v>
      </c>
      <c r="N886" s="2" t="s">
        <v>0</v>
      </c>
      <c r="O886" s="2">
        <v>20</v>
      </c>
      <c r="P886" s="2">
        <v>8</v>
      </c>
      <c r="Q886" s="2" t="s">
        <v>352</v>
      </c>
      <c r="R886" s="2" t="s">
        <v>47</v>
      </c>
      <c r="S886" s="2">
        <v>0</v>
      </c>
      <c r="T886" s="2">
        <v>0</v>
      </c>
      <c r="U886" s="2">
        <v>0</v>
      </c>
      <c r="V886" s="2">
        <v>0</v>
      </c>
      <c r="W886" s="2">
        <v>5</v>
      </c>
      <c r="X886" s="2" t="s">
        <v>1799</v>
      </c>
      <c r="Y886" s="2">
        <v>0</v>
      </c>
      <c r="Z886" s="2">
        <v>5</v>
      </c>
      <c r="AA886" s="2">
        <v>3</v>
      </c>
      <c r="AB886" s="2">
        <v>1</v>
      </c>
      <c r="AC886" s="2">
        <v>5</v>
      </c>
      <c r="AD886" s="2">
        <v>4</v>
      </c>
      <c r="AE886" s="2" t="s">
        <v>0</v>
      </c>
      <c r="AF886" s="2">
        <v>3</v>
      </c>
      <c r="AG886" s="2" t="s">
        <v>49</v>
      </c>
    </row>
    <row r="887" spans="1:33" ht="76.5" x14ac:dyDescent="0.2">
      <c r="A887" s="5" t="str">
        <f>HYPERLINK("http://www.patentics.cn/invokexml.do?sf=ShowPatent&amp;spn=US9014110&amp;sv=d6e8574964b31b11a8b757021fd49ed1","US9014110")</f>
        <v>US9014110</v>
      </c>
      <c r="B887" s="3" t="s">
        <v>4153</v>
      </c>
      <c r="C887" s="3" t="s">
        <v>4154</v>
      </c>
      <c r="D887" s="3" t="s">
        <v>52</v>
      </c>
      <c r="E887" s="3" t="s">
        <v>52</v>
      </c>
      <c r="F887" s="3" t="s">
        <v>4155</v>
      </c>
      <c r="G887" s="3" t="s">
        <v>949</v>
      </c>
      <c r="H887" s="3" t="s">
        <v>2672</v>
      </c>
      <c r="I887" s="3" t="s">
        <v>4156</v>
      </c>
      <c r="J887" s="3" t="s">
        <v>499</v>
      </c>
      <c r="K887" s="3" t="s">
        <v>58</v>
      </c>
      <c r="L887" s="3" t="s">
        <v>1386</v>
      </c>
      <c r="M887" s="3" t="s">
        <v>58</v>
      </c>
      <c r="N887" s="3" t="s">
        <v>4157</v>
      </c>
      <c r="O887" s="3">
        <v>0</v>
      </c>
      <c r="P887" s="3">
        <v>10</v>
      </c>
      <c r="Q887" s="3" t="s">
        <v>60</v>
      </c>
      <c r="R887" s="3" t="s">
        <v>61</v>
      </c>
      <c r="S887" s="3">
        <v>22</v>
      </c>
      <c r="T887" s="3">
        <v>4</v>
      </c>
      <c r="U887" s="3">
        <v>18</v>
      </c>
      <c r="V887" s="3">
        <v>12</v>
      </c>
      <c r="W887" s="3">
        <v>3</v>
      </c>
      <c r="X887" s="3" t="s">
        <v>1206</v>
      </c>
      <c r="Y887" s="3">
        <v>2</v>
      </c>
      <c r="Z887" s="3">
        <v>1</v>
      </c>
      <c r="AA887" s="3">
        <v>2</v>
      </c>
      <c r="AB887" s="3">
        <v>1</v>
      </c>
      <c r="AC887" s="3">
        <v>20</v>
      </c>
      <c r="AD887" s="3">
        <v>6</v>
      </c>
      <c r="AE887" s="3">
        <v>14</v>
      </c>
      <c r="AF887" s="3" t="s">
        <v>0</v>
      </c>
      <c r="AG887" s="3" t="s">
        <v>49</v>
      </c>
    </row>
    <row r="888" spans="1:33" ht="76.5" x14ac:dyDescent="0.2">
      <c r="A888" s="5" t="str">
        <f>HYPERLINK("http://www.patentics.cn/invokexml.do?sf=ShowPatent&amp;spn=US9402257&amp;sv=55008bc78cebaa50402202ad7a536537","US9402257")</f>
        <v>US9402257</v>
      </c>
      <c r="B888" s="3" t="s">
        <v>4158</v>
      </c>
      <c r="C888" s="3" t="s">
        <v>4154</v>
      </c>
      <c r="D888" s="3" t="s">
        <v>52</v>
      </c>
      <c r="E888" s="3" t="s">
        <v>52</v>
      </c>
      <c r="F888" s="3" t="s">
        <v>4155</v>
      </c>
      <c r="G888" s="3" t="s">
        <v>949</v>
      </c>
      <c r="H888" s="3" t="s">
        <v>2672</v>
      </c>
      <c r="I888" s="3" t="s">
        <v>1270</v>
      </c>
      <c r="J888" s="3" t="s">
        <v>1419</v>
      </c>
      <c r="K888" s="3" t="s">
        <v>82</v>
      </c>
      <c r="L888" s="3" t="s">
        <v>244</v>
      </c>
      <c r="M888" s="3" t="s">
        <v>82</v>
      </c>
      <c r="N888" s="3" t="s">
        <v>3257</v>
      </c>
      <c r="O888" s="3">
        <v>0</v>
      </c>
      <c r="P888" s="3">
        <v>14</v>
      </c>
      <c r="Q888" s="3" t="s">
        <v>60</v>
      </c>
      <c r="R888" s="3" t="s">
        <v>61</v>
      </c>
      <c r="S888" s="3">
        <v>36</v>
      </c>
      <c r="T888" s="3">
        <v>7</v>
      </c>
      <c r="U888" s="3">
        <v>29</v>
      </c>
      <c r="V888" s="3">
        <v>18</v>
      </c>
      <c r="W888" s="3">
        <v>0</v>
      </c>
      <c r="X888" s="3" t="s">
        <v>147</v>
      </c>
      <c r="Y888" s="3">
        <v>0</v>
      </c>
      <c r="Z888" s="3">
        <v>0</v>
      </c>
      <c r="AA888" s="3">
        <v>0</v>
      </c>
      <c r="AB888" s="3">
        <v>0</v>
      </c>
      <c r="AC888" s="3">
        <v>20</v>
      </c>
      <c r="AD888" s="3">
        <v>6</v>
      </c>
      <c r="AE888" s="3">
        <v>14</v>
      </c>
      <c r="AF888" s="3" t="s">
        <v>0</v>
      </c>
      <c r="AG888" s="3" t="s">
        <v>49</v>
      </c>
    </row>
    <row r="889" spans="1:33" ht="76.5" x14ac:dyDescent="0.2">
      <c r="A889" s="5" t="str">
        <f>HYPERLINK("http://www.patentics.cn/invokexml.do?sf=ShowPatent&amp;spn=US9456447&amp;sv=90cf5f18cfc4528a0471a5830e17553e","US9456447")</f>
        <v>US9456447</v>
      </c>
      <c r="B889" s="3" t="s">
        <v>4159</v>
      </c>
      <c r="C889" s="3" t="s">
        <v>4154</v>
      </c>
      <c r="D889" s="3" t="s">
        <v>52</v>
      </c>
      <c r="E889" s="3" t="s">
        <v>52</v>
      </c>
      <c r="F889" s="3" t="s">
        <v>4155</v>
      </c>
      <c r="G889" s="3" t="s">
        <v>949</v>
      </c>
      <c r="H889" s="3" t="s">
        <v>2672</v>
      </c>
      <c r="I889" s="3" t="s">
        <v>1270</v>
      </c>
      <c r="J889" s="3" t="s">
        <v>721</v>
      </c>
      <c r="K889" s="3" t="s">
        <v>82</v>
      </c>
      <c r="L889" s="3" t="s">
        <v>244</v>
      </c>
      <c r="M889" s="3" t="s">
        <v>82</v>
      </c>
      <c r="N889" s="3" t="s">
        <v>3257</v>
      </c>
      <c r="O889" s="3">
        <v>0</v>
      </c>
      <c r="P889" s="3">
        <v>11</v>
      </c>
      <c r="Q889" s="3" t="s">
        <v>60</v>
      </c>
      <c r="R889" s="3" t="s">
        <v>61</v>
      </c>
      <c r="S889" s="3">
        <v>42</v>
      </c>
      <c r="T889" s="3">
        <v>7</v>
      </c>
      <c r="U889" s="3">
        <v>35</v>
      </c>
      <c r="V889" s="3">
        <v>20</v>
      </c>
      <c r="W889" s="3">
        <v>0</v>
      </c>
      <c r="X889" s="3" t="s">
        <v>147</v>
      </c>
      <c r="Y889" s="3">
        <v>0</v>
      </c>
      <c r="Z889" s="3">
        <v>0</v>
      </c>
      <c r="AA889" s="3">
        <v>0</v>
      </c>
      <c r="AB889" s="3">
        <v>0</v>
      </c>
      <c r="AC889" s="3">
        <v>20</v>
      </c>
      <c r="AD889" s="3">
        <v>6</v>
      </c>
      <c r="AE889" s="3">
        <v>14</v>
      </c>
      <c r="AF889" s="3" t="s">
        <v>0</v>
      </c>
      <c r="AG889" s="3" t="s">
        <v>49</v>
      </c>
    </row>
    <row r="890" spans="1:33" ht="38.25" x14ac:dyDescent="0.2">
      <c r="A890" s="4" t="str">
        <f>HYPERLINK("http://www.patentics.cn/invokexml.do?sf=ShowPatent&amp;spn=US20120236781&amp;sv=a5827f2427fa569778c1c206208df02c","US20120236781")</f>
        <v>US20120236781</v>
      </c>
      <c r="B890" s="2" t="s">
        <v>4160</v>
      </c>
      <c r="C890" s="2" t="s">
        <v>4161</v>
      </c>
      <c r="D890" s="2" t="s">
        <v>346</v>
      </c>
      <c r="E890" s="2" t="s">
        <v>346</v>
      </c>
      <c r="F890" s="2" t="s">
        <v>4162</v>
      </c>
      <c r="G890" s="2" t="s">
        <v>4163</v>
      </c>
      <c r="H890" s="2" t="s">
        <v>4164</v>
      </c>
      <c r="I890" s="2" t="s">
        <v>4165</v>
      </c>
      <c r="J890" s="2" t="s">
        <v>4166</v>
      </c>
      <c r="K890" s="2" t="s">
        <v>84</v>
      </c>
      <c r="L890" s="2" t="s">
        <v>278</v>
      </c>
      <c r="M890" s="2" t="s">
        <v>0</v>
      </c>
      <c r="N890" s="2" t="s">
        <v>0</v>
      </c>
      <c r="O890" s="2">
        <v>28</v>
      </c>
      <c r="P890" s="2">
        <v>9</v>
      </c>
      <c r="Q890" s="2" t="s">
        <v>352</v>
      </c>
      <c r="R890" s="2" t="s">
        <v>47</v>
      </c>
      <c r="S890" s="2">
        <v>1</v>
      </c>
      <c r="T890" s="2">
        <v>0</v>
      </c>
      <c r="U890" s="2">
        <v>1</v>
      </c>
      <c r="V890" s="2">
        <v>1</v>
      </c>
      <c r="W890" s="2">
        <v>3</v>
      </c>
      <c r="X890" s="2" t="s">
        <v>108</v>
      </c>
      <c r="Y890" s="2">
        <v>0</v>
      </c>
      <c r="Z890" s="2">
        <v>3</v>
      </c>
      <c r="AA890" s="2">
        <v>1</v>
      </c>
      <c r="AB890" s="2">
        <v>1</v>
      </c>
      <c r="AC890" s="2">
        <v>8</v>
      </c>
      <c r="AD890" s="2">
        <v>4</v>
      </c>
      <c r="AE890" s="2" t="s">
        <v>0</v>
      </c>
      <c r="AF890" s="2">
        <v>3</v>
      </c>
      <c r="AG890" s="2" t="s">
        <v>49</v>
      </c>
    </row>
    <row r="891" spans="1:33" ht="25.5" x14ac:dyDescent="0.2">
      <c r="A891" s="5" t="str">
        <f>HYPERLINK("http://www.patentics.cn/invokexml.do?sf=ShowPatent&amp;spn=US9036538&amp;sv=584cfa081eca28461e2cb239578d29fc","US9036538")</f>
        <v>US9036538</v>
      </c>
      <c r="B891" s="3" t="s">
        <v>205</v>
      </c>
      <c r="C891" s="3" t="s">
        <v>200</v>
      </c>
      <c r="D891" s="3" t="s">
        <v>52</v>
      </c>
      <c r="E891" s="3" t="s">
        <v>52</v>
      </c>
      <c r="F891" s="3" t="s">
        <v>193</v>
      </c>
      <c r="G891" s="3" t="s">
        <v>193</v>
      </c>
      <c r="H891" s="3" t="s">
        <v>201</v>
      </c>
      <c r="I891" s="3" t="s">
        <v>206</v>
      </c>
      <c r="J891" s="3" t="s">
        <v>207</v>
      </c>
      <c r="K891" s="3" t="s">
        <v>82</v>
      </c>
      <c r="L891" s="3" t="s">
        <v>83</v>
      </c>
      <c r="M891" s="3" t="s">
        <v>0</v>
      </c>
      <c r="N891" s="3" t="s">
        <v>0</v>
      </c>
      <c r="O891" s="3">
        <v>0</v>
      </c>
      <c r="P891" s="3">
        <v>14</v>
      </c>
      <c r="Q891" s="3" t="s">
        <v>60</v>
      </c>
      <c r="R891" s="3" t="s">
        <v>61</v>
      </c>
      <c r="S891" s="3">
        <v>1143</v>
      </c>
      <c r="T891" s="3">
        <v>245</v>
      </c>
      <c r="U891" s="3">
        <v>898</v>
      </c>
      <c r="V891" s="3">
        <v>197</v>
      </c>
      <c r="W891" s="3">
        <v>0</v>
      </c>
      <c r="X891" s="3" t="s">
        <v>147</v>
      </c>
      <c r="Y891" s="3">
        <v>0</v>
      </c>
      <c r="Z891" s="3">
        <v>0</v>
      </c>
      <c r="AA891" s="3">
        <v>0</v>
      </c>
      <c r="AB891" s="3">
        <v>0</v>
      </c>
      <c r="AC891" s="3">
        <v>51</v>
      </c>
      <c r="AD891" s="3">
        <v>14</v>
      </c>
      <c r="AE891" s="3">
        <v>14</v>
      </c>
      <c r="AF891" s="3" t="s">
        <v>0</v>
      </c>
      <c r="AG891" s="3" t="s">
        <v>49</v>
      </c>
    </row>
    <row r="892" spans="1:33" ht="114.75" x14ac:dyDescent="0.2">
      <c r="A892" s="5" t="str">
        <f>HYPERLINK("http://www.patentics.cn/invokexml.do?sf=ShowPatent&amp;spn=US9461859&amp;sv=027d2fad25d71f90e65c341d65dc5cdd","US9461859")</f>
        <v>US9461859</v>
      </c>
      <c r="B892" s="3" t="s">
        <v>328</v>
      </c>
      <c r="C892" s="3" t="s">
        <v>237</v>
      </c>
      <c r="D892" s="3" t="s">
        <v>52</v>
      </c>
      <c r="E892" s="3" t="s">
        <v>52</v>
      </c>
      <c r="F892" s="3" t="s">
        <v>238</v>
      </c>
      <c r="G892" s="3" t="s">
        <v>112</v>
      </c>
      <c r="H892" s="3" t="s">
        <v>55</v>
      </c>
      <c r="I892" s="3" t="s">
        <v>55</v>
      </c>
      <c r="J892" s="3" t="s">
        <v>329</v>
      </c>
      <c r="K892" s="3" t="s">
        <v>84</v>
      </c>
      <c r="L892" s="3" t="s">
        <v>312</v>
      </c>
      <c r="M892" s="3" t="s">
        <v>58</v>
      </c>
      <c r="N892" s="3" t="s">
        <v>330</v>
      </c>
      <c r="O892" s="3">
        <v>0</v>
      </c>
      <c r="P892" s="3">
        <v>13</v>
      </c>
      <c r="Q892" s="3" t="s">
        <v>60</v>
      </c>
      <c r="R892" s="3" t="s">
        <v>61</v>
      </c>
      <c r="S892" s="3">
        <v>1158</v>
      </c>
      <c r="T892" s="3">
        <v>257</v>
      </c>
      <c r="U892" s="3">
        <v>901</v>
      </c>
      <c r="V892" s="3">
        <v>197</v>
      </c>
      <c r="W892" s="3">
        <v>0</v>
      </c>
      <c r="X892" s="3" t="s">
        <v>147</v>
      </c>
      <c r="Y892" s="3">
        <v>0</v>
      </c>
      <c r="Z892" s="3">
        <v>0</v>
      </c>
      <c r="AA892" s="3">
        <v>0</v>
      </c>
      <c r="AB892" s="3">
        <v>0</v>
      </c>
      <c r="AC892" s="3">
        <v>31</v>
      </c>
      <c r="AD892" s="3">
        <v>18</v>
      </c>
      <c r="AE892" s="3">
        <v>14</v>
      </c>
      <c r="AF892" s="3" t="s">
        <v>0</v>
      </c>
      <c r="AG892" s="3" t="s">
        <v>49</v>
      </c>
    </row>
    <row r="893" spans="1:33" ht="76.5" x14ac:dyDescent="0.2">
      <c r="A893" s="5" t="str">
        <f>HYPERLINK("http://www.patentics.cn/invokexml.do?sf=ShowPatent&amp;spn=US9544782&amp;sv=3afe3c16f6e54a823fac61f27b730619","US9544782")</f>
        <v>US9544782</v>
      </c>
      <c r="B893" s="3" t="s">
        <v>3235</v>
      </c>
      <c r="C893" s="3" t="s">
        <v>3236</v>
      </c>
      <c r="D893" s="3" t="s">
        <v>52</v>
      </c>
      <c r="E893" s="3" t="s">
        <v>52</v>
      </c>
      <c r="F893" s="3" t="s">
        <v>3237</v>
      </c>
      <c r="G893" s="3" t="s">
        <v>3238</v>
      </c>
      <c r="H893" s="3" t="s">
        <v>3239</v>
      </c>
      <c r="I893" s="3" t="s">
        <v>1970</v>
      </c>
      <c r="J893" s="3" t="s">
        <v>861</v>
      </c>
      <c r="K893" s="3" t="s">
        <v>82</v>
      </c>
      <c r="L893" s="3" t="s">
        <v>3240</v>
      </c>
      <c r="M893" s="3" t="s">
        <v>82</v>
      </c>
      <c r="N893" s="3" t="s">
        <v>3241</v>
      </c>
      <c r="O893" s="3">
        <v>0</v>
      </c>
      <c r="P893" s="3">
        <v>9</v>
      </c>
      <c r="Q893" s="3" t="s">
        <v>60</v>
      </c>
      <c r="R893" s="3" t="s">
        <v>61</v>
      </c>
      <c r="S893" s="3">
        <v>69</v>
      </c>
      <c r="T893" s="3">
        <v>6</v>
      </c>
      <c r="U893" s="3">
        <v>63</v>
      </c>
      <c r="V893" s="3">
        <v>27</v>
      </c>
      <c r="W893" s="3">
        <v>0</v>
      </c>
      <c r="X893" s="3" t="s">
        <v>147</v>
      </c>
      <c r="Y893" s="3">
        <v>0</v>
      </c>
      <c r="Z893" s="3">
        <v>0</v>
      </c>
      <c r="AA893" s="3">
        <v>0</v>
      </c>
      <c r="AB893" s="3">
        <v>0</v>
      </c>
      <c r="AC893" s="3">
        <v>6</v>
      </c>
      <c r="AD893" s="3">
        <v>6</v>
      </c>
      <c r="AE893" s="3">
        <v>14</v>
      </c>
      <c r="AF893" s="3" t="s">
        <v>0</v>
      </c>
      <c r="AG893" s="3" t="s">
        <v>49</v>
      </c>
    </row>
    <row r="894" spans="1:33" ht="102" x14ac:dyDescent="0.2">
      <c r="A894" s="4" t="str">
        <f>HYPERLINK("http://www.patentics.cn/invokexml.do?sf=ShowPatent&amp;spn=US20120120854&amp;sv=0f68a6677851a0c20d03d4e9d015d264","US20120120854")</f>
        <v>US20120120854</v>
      </c>
      <c r="B894" s="2" t="s">
        <v>4167</v>
      </c>
      <c r="C894" s="2" t="s">
        <v>4168</v>
      </c>
      <c r="D894" s="2" t="s">
        <v>346</v>
      </c>
      <c r="E894" s="2" t="s">
        <v>346</v>
      </c>
      <c r="F894" s="2" t="s">
        <v>4169</v>
      </c>
      <c r="G894" s="2" t="s">
        <v>3297</v>
      </c>
      <c r="H894" s="2" t="s">
        <v>4170</v>
      </c>
      <c r="I894" s="2" t="s">
        <v>1139</v>
      </c>
      <c r="J894" s="2" t="s">
        <v>4171</v>
      </c>
      <c r="K894" s="2" t="s">
        <v>82</v>
      </c>
      <c r="L894" s="2" t="s">
        <v>244</v>
      </c>
      <c r="M894" s="2" t="s">
        <v>0</v>
      </c>
      <c r="N894" s="2" t="s">
        <v>0</v>
      </c>
      <c r="O894" s="2">
        <v>37</v>
      </c>
      <c r="P894" s="2">
        <v>11</v>
      </c>
      <c r="Q894" s="2" t="s">
        <v>352</v>
      </c>
      <c r="R894" s="2" t="s">
        <v>61</v>
      </c>
      <c r="S894" s="2">
        <v>1</v>
      </c>
      <c r="T894" s="2">
        <v>1</v>
      </c>
      <c r="U894" s="2">
        <v>0</v>
      </c>
      <c r="V894" s="2">
        <v>1</v>
      </c>
      <c r="W894" s="2">
        <v>16</v>
      </c>
      <c r="X894" s="2" t="s">
        <v>4172</v>
      </c>
      <c r="Y894" s="2">
        <v>0</v>
      </c>
      <c r="Z894" s="2">
        <v>16</v>
      </c>
      <c r="AA894" s="2">
        <v>10</v>
      </c>
      <c r="AB894" s="2">
        <v>2</v>
      </c>
      <c r="AC894" s="2">
        <v>9</v>
      </c>
      <c r="AD894" s="2">
        <v>6</v>
      </c>
      <c r="AE894" s="2" t="s">
        <v>0</v>
      </c>
      <c r="AF894" s="2">
        <v>3</v>
      </c>
      <c r="AG894" s="2" t="s">
        <v>49</v>
      </c>
    </row>
    <row r="895" spans="1:33" ht="76.5" x14ac:dyDescent="0.2">
      <c r="A895" s="5" t="str">
        <f>HYPERLINK("http://www.patentics.cn/invokexml.do?sf=ShowPatent&amp;spn=US8873435&amp;sv=57091e2c05af69ab5d3d512f54c0ebe7","US8873435")</f>
        <v>US8873435</v>
      </c>
      <c r="B895" s="3" t="s">
        <v>4173</v>
      </c>
      <c r="C895" s="3" t="s">
        <v>4174</v>
      </c>
      <c r="D895" s="3" t="s">
        <v>52</v>
      </c>
      <c r="E895" s="3" t="s">
        <v>52</v>
      </c>
      <c r="F895" s="3" t="s">
        <v>3571</v>
      </c>
      <c r="G895" s="3" t="s">
        <v>3572</v>
      </c>
      <c r="H895" s="3" t="s">
        <v>1472</v>
      </c>
      <c r="I895" s="3" t="s">
        <v>1472</v>
      </c>
      <c r="J895" s="3" t="s">
        <v>489</v>
      </c>
      <c r="K895" s="3" t="s">
        <v>70</v>
      </c>
      <c r="L895" s="3" t="s">
        <v>467</v>
      </c>
      <c r="M895" s="3" t="s">
        <v>82</v>
      </c>
      <c r="N895" s="3" t="s">
        <v>977</v>
      </c>
      <c r="O895" s="3">
        <v>0</v>
      </c>
      <c r="P895" s="3">
        <v>11</v>
      </c>
      <c r="Q895" s="3" t="s">
        <v>60</v>
      </c>
      <c r="R895" s="3" t="s">
        <v>61</v>
      </c>
      <c r="S895" s="3">
        <v>11</v>
      </c>
      <c r="T895" s="3">
        <v>0</v>
      </c>
      <c r="U895" s="3">
        <v>11</v>
      </c>
      <c r="V895" s="3">
        <v>6</v>
      </c>
      <c r="W895" s="3">
        <v>0</v>
      </c>
      <c r="X895" s="3" t="s">
        <v>147</v>
      </c>
      <c r="Y895" s="3">
        <v>0</v>
      </c>
      <c r="Z895" s="3">
        <v>0</v>
      </c>
      <c r="AA895" s="3">
        <v>0</v>
      </c>
      <c r="AB895" s="3">
        <v>0</v>
      </c>
      <c r="AC895" s="3">
        <v>3</v>
      </c>
      <c r="AD895" s="3">
        <v>3</v>
      </c>
      <c r="AE895" s="3">
        <v>14</v>
      </c>
      <c r="AF895" s="3" t="s">
        <v>0</v>
      </c>
      <c r="AG895" s="3" t="s">
        <v>49</v>
      </c>
    </row>
    <row r="896" spans="1:33" ht="38.25" x14ac:dyDescent="0.2">
      <c r="A896" s="5" t="str">
        <f>HYPERLINK("http://www.patentics.cn/invokexml.do?sf=ShowPatent&amp;spn=US9042312&amp;sv=e5335dbab51b6f00e966f9745155cada","US9042312")</f>
        <v>US9042312</v>
      </c>
      <c r="B896" s="3" t="s">
        <v>4175</v>
      </c>
      <c r="C896" s="3" t="s">
        <v>4176</v>
      </c>
      <c r="D896" s="3" t="s">
        <v>52</v>
      </c>
      <c r="E896" s="3" t="s">
        <v>52</v>
      </c>
      <c r="F896" s="3" t="s">
        <v>4177</v>
      </c>
      <c r="G896" s="3" t="s">
        <v>2752</v>
      </c>
      <c r="H896" s="3" t="s">
        <v>2931</v>
      </c>
      <c r="I896" s="3" t="s">
        <v>3450</v>
      </c>
      <c r="J896" s="3" t="s">
        <v>1147</v>
      </c>
      <c r="K896" s="3" t="s">
        <v>82</v>
      </c>
      <c r="L896" s="3" t="s">
        <v>4178</v>
      </c>
      <c r="M896" s="3" t="s">
        <v>0</v>
      </c>
      <c r="N896" s="3" t="s">
        <v>0</v>
      </c>
      <c r="O896" s="3">
        <v>0</v>
      </c>
      <c r="P896" s="3">
        <v>13</v>
      </c>
      <c r="Q896" s="3" t="s">
        <v>60</v>
      </c>
      <c r="R896" s="3" t="s">
        <v>61</v>
      </c>
      <c r="S896" s="3">
        <v>15</v>
      </c>
      <c r="T896" s="3">
        <v>0</v>
      </c>
      <c r="U896" s="3">
        <v>15</v>
      </c>
      <c r="V896" s="3">
        <v>8</v>
      </c>
      <c r="W896" s="3">
        <v>2</v>
      </c>
      <c r="X896" s="3" t="s">
        <v>104</v>
      </c>
      <c r="Y896" s="3">
        <v>1</v>
      </c>
      <c r="Z896" s="3">
        <v>1</v>
      </c>
      <c r="AA896" s="3">
        <v>2</v>
      </c>
      <c r="AB896" s="3">
        <v>1</v>
      </c>
      <c r="AC896" s="3">
        <v>10</v>
      </c>
      <c r="AD896" s="3">
        <v>6</v>
      </c>
      <c r="AE896" s="3">
        <v>14</v>
      </c>
      <c r="AF896" s="3" t="s">
        <v>0</v>
      </c>
      <c r="AG896" s="3" t="s">
        <v>49</v>
      </c>
    </row>
    <row r="897" spans="1:33" ht="38.25" x14ac:dyDescent="0.2">
      <c r="A897" s="5" t="str">
        <f>HYPERLINK("http://www.patentics.cn/invokexml.do?sf=ShowPatent&amp;spn=US9225474&amp;sv=fe23a206c03acf8e9ba92c42ed35d18b","US9225474")</f>
        <v>US9225474</v>
      </c>
      <c r="B897" s="3" t="s">
        <v>4179</v>
      </c>
      <c r="C897" s="3" t="s">
        <v>4176</v>
      </c>
      <c r="D897" s="3" t="s">
        <v>52</v>
      </c>
      <c r="E897" s="3" t="s">
        <v>52</v>
      </c>
      <c r="F897" s="3" t="s">
        <v>4177</v>
      </c>
      <c r="G897" s="3" t="s">
        <v>2752</v>
      </c>
      <c r="H897" s="3" t="s">
        <v>2931</v>
      </c>
      <c r="I897" s="3" t="s">
        <v>4180</v>
      </c>
      <c r="J897" s="3" t="s">
        <v>294</v>
      </c>
      <c r="K897" s="3" t="s">
        <v>82</v>
      </c>
      <c r="L897" s="3" t="s">
        <v>244</v>
      </c>
      <c r="M897" s="3" t="s">
        <v>58</v>
      </c>
      <c r="N897" s="3" t="s">
        <v>4181</v>
      </c>
      <c r="O897" s="3">
        <v>0</v>
      </c>
      <c r="P897" s="3">
        <v>8</v>
      </c>
      <c r="Q897" s="3" t="s">
        <v>60</v>
      </c>
      <c r="R897" s="3" t="s">
        <v>61</v>
      </c>
      <c r="S897" s="3">
        <v>17</v>
      </c>
      <c r="T897" s="3">
        <v>2</v>
      </c>
      <c r="U897" s="3">
        <v>15</v>
      </c>
      <c r="V897" s="3">
        <v>9</v>
      </c>
      <c r="W897" s="3">
        <v>0</v>
      </c>
      <c r="X897" s="3" t="s">
        <v>147</v>
      </c>
      <c r="Y897" s="3">
        <v>0</v>
      </c>
      <c r="Z897" s="3">
        <v>0</v>
      </c>
      <c r="AA897" s="3">
        <v>0</v>
      </c>
      <c r="AB897" s="3">
        <v>0</v>
      </c>
      <c r="AC897" s="3">
        <v>10</v>
      </c>
      <c r="AD897" s="3">
        <v>6</v>
      </c>
      <c r="AE897" s="3">
        <v>14</v>
      </c>
      <c r="AF897" s="3" t="s">
        <v>0</v>
      </c>
      <c r="AG897" s="3" t="s">
        <v>49</v>
      </c>
    </row>
    <row r="898" spans="1:33" ht="38.25" x14ac:dyDescent="0.2">
      <c r="A898" s="4" t="str">
        <f>HYPERLINK("http://www.patentics.cn/invokexml.do?sf=ShowPatent&amp;spn=US20110255509&amp;sv=0b2b56fb1b2564056399530ea0563ca7","US20110255509")</f>
        <v>US20110255509</v>
      </c>
      <c r="B898" s="2" t="s">
        <v>4182</v>
      </c>
      <c r="C898" s="2" t="s">
        <v>4183</v>
      </c>
      <c r="D898" s="2" t="s">
        <v>346</v>
      </c>
      <c r="E898" s="2" t="s">
        <v>346</v>
      </c>
      <c r="F898" s="2" t="s">
        <v>4184</v>
      </c>
      <c r="G898" s="2" t="s">
        <v>4185</v>
      </c>
      <c r="H898" s="2" t="s">
        <v>2202</v>
      </c>
      <c r="I898" s="2" t="s">
        <v>3579</v>
      </c>
      <c r="J898" s="2" t="s">
        <v>4186</v>
      </c>
      <c r="K898" s="2" t="s">
        <v>82</v>
      </c>
      <c r="L898" s="2" t="s">
        <v>177</v>
      </c>
      <c r="M898" s="2" t="s">
        <v>0</v>
      </c>
      <c r="N898" s="2" t="s">
        <v>0</v>
      </c>
      <c r="O898" s="2">
        <v>21</v>
      </c>
      <c r="P898" s="2">
        <v>22</v>
      </c>
      <c r="Q898" s="2" t="s">
        <v>352</v>
      </c>
      <c r="R898" s="2" t="s">
        <v>47</v>
      </c>
      <c r="S898" s="2">
        <v>0</v>
      </c>
      <c r="T898" s="2">
        <v>0</v>
      </c>
      <c r="U898" s="2">
        <v>0</v>
      </c>
      <c r="V898" s="2">
        <v>0</v>
      </c>
      <c r="W898" s="2">
        <v>6</v>
      </c>
      <c r="X898" s="2" t="s">
        <v>434</v>
      </c>
      <c r="Y898" s="2">
        <v>0</v>
      </c>
      <c r="Z898" s="2">
        <v>6</v>
      </c>
      <c r="AA898" s="2">
        <v>4</v>
      </c>
      <c r="AB898" s="2">
        <v>1</v>
      </c>
      <c r="AC898" s="2">
        <v>11</v>
      </c>
      <c r="AD898" s="2">
        <v>7</v>
      </c>
      <c r="AE898" s="2" t="s">
        <v>0</v>
      </c>
      <c r="AF898" s="2">
        <v>3</v>
      </c>
      <c r="AG898" s="2" t="s">
        <v>49</v>
      </c>
    </row>
    <row r="899" spans="1:33" ht="114.75" x14ac:dyDescent="0.2">
      <c r="A899" s="5" t="str">
        <f>HYPERLINK("http://www.patentics.cn/invokexml.do?sf=ShowPatent&amp;spn=US8989736&amp;sv=d6b051167bd416208083d8bfc15a41f7","US8989736")</f>
        <v>US8989736</v>
      </c>
      <c r="B899" s="3" t="s">
        <v>4187</v>
      </c>
      <c r="C899" s="3" t="s">
        <v>4188</v>
      </c>
      <c r="D899" s="3" t="s">
        <v>52</v>
      </c>
      <c r="E899" s="3" t="s">
        <v>52</v>
      </c>
      <c r="F899" s="3" t="s">
        <v>4189</v>
      </c>
      <c r="G899" s="3" t="s">
        <v>4190</v>
      </c>
      <c r="H899" s="3" t="s">
        <v>4191</v>
      </c>
      <c r="I899" s="3" t="s">
        <v>4192</v>
      </c>
      <c r="J899" s="3" t="s">
        <v>812</v>
      </c>
      <c r="K899" s="3" t="s">
        <v>82</v>
      </c>
      <c r="L899" s="3" t="s">
        <v>83</v>
      </c>
      <c r="M899" s="3" t="s">
        <v>82</v>
      </c>
      <c r="N899" s="3" t="s">
        <v>2003</v>
      </c>
      <c r="O899" s="3">
        <v>0</v>
      </c>
      <c r="P899" s="3">
        <v>13</v>
      </c>
      <c r="Q899" s="3" t="s">
        <v>60</v>
      </c>
      <c r="R899" s="3" t="s">
        <v>61</v>
      </c>
      <c r="S899" s="3">
        <v>8</v>
      </c>
      <c r="T899" s="3">
        <v>1</v>
      </c>
      <c r="U899" s="3">
        <v>7</v>
      </c>
      <c r="V899" s="3">
        <v>6</v>
      </c>
      <c r="W899" s="3">
        <v>0</v>
      </c>
      <c r="X899" s="3" t="s">
        <v>147</v>
      </c>
      <c r="Y899" s="3">
        <v>0</v>
      </c>
      <c r="Z899" s="3">
        <v>0</v>
      </c>
      <c r="AA899" s="3">
        <v>0</v>
      </c>
      <c r="AB899" s="3">
        <v>0</v>
      </c>
      <c r="AC899" s="3">
        <v>3</v>
      </c>
      <c r="AD899" s="3">
        <v>3</v>
      </c>
      <c r="AE899" s="3">
        <v>14</v>
      </c>
      <c r="AF899" s="3" t="s">
        <v>0</v>
      </c>
      <c r="AG899" s="3" t="s">
        <v>49</v>
      </c>
    </row>
    <row r="900" spans="1:33" ht="140.25" x14ac:dyDescent="0.2">
      <c r="A900" s="5" t="str">
        <f>HYPERLINK("http://www.patentics.cn/invokexml.do?sf=ShowPatent&amp;spn=US9161280&amp;sv=9d7dc2b490477a11d5c81c6796874737","US9161280")</f>
        <v>US9161280</v>
      </c>
      <c r="B900" s="3" t="s">
        <v>4193</v>
      </c>
      <c r="C900" s="3" t="s">
        <v>4194</v>
      </c>
      <c r="D900" s="3" t="s">
        <v>52</v>
      </c>
      <c r="E900" s="3" t="s">
        <v>52</v>
      </c>
      <c r="F900" s="3" t="s">
        <v>4195</v>
      </c>
      <c r="G900" s="3" t="s">
        <v>4196</v>
      </c>
      <c r="H900" s="3" t="s">
        <v>4197</v>
      </c>
      <c r="I900" s="3" t="s">
        <v>4198</v>
      </c>
      <c r="J900" s="3" t="s">
        <v>830</v>
      </c>
      <c r="K900" s="3" t="s">
        <v>82</v>
      </c>
      <c r="L900" s="3" t="s">
        <v>4071</v>
      </c>
      <c r="M900" s="3" t="s">
        <v>82</v>
      </c>
      <c r="N900" s="3" t="s">
        <v>4058</v>
      </c>
      <c r="O900" s="3">
        <v>0</v>
      </c>
      <c r="P900" s="3">
        <v>18</v>
      </c>
      <c r="Q900" s="3" t="s">
        <v>60</v>
      </c>
      <c r="R900" s="3" t="s">
        <v>61</v>
      </c>
      <c r="S900" s="3">
        <v>20</v>
      </c>
      <c r="T900" s="3">
        <v>3</v>
      </c>
      <c r="U900" s="3">
        <v>17</v>
      </c>
      <c r="V900" s="3">
        <v>10</v>
      </c>
      <c r="W900" s="3">
        <v>12</v>
      </c>
      <c r="X900" s="3" t="s">
        <v>147</v>
      </c>
      <c r="Y900" s="3">
        <v>0</v>
      </c>
      <c r="Z900" s="3">
        <v>12</v>
      </c>
      <c r="AA900" s="3">
        <v>0</v>
      </c>
      <c r="AB900" s="3">
        <v>1</v>
      </c>
      <c r="AC900" s="3">
        <v>4</v>
      </c>
      <c r="AD900" s="3">
        <v>4</v>
      </c>
      <c r="AE900" s="3">
        <v>14</v>
      </c>
      <c r="AF900" s="3" t="s">
        <v>0</v>
      </c>
      <c r="AG900" s="3" t="s">
        <v>49</v>
      </c>
    </row>
    <row r="901" spans="1:33" ht="76.5" x14ac:dyDescent="0.2">
      <c r="A901" s="5" t="str">
        <f>HYPERLINK("http://www.patentics.cn/invokexml.do?sf=ShowPatent&amp;spn=US9198098&amp;sv=77419587c1c3aa9115712fde2d84f324","US9198098")</f>
        <v>US9198098</v>
      </c>
      <c r="B901" s="3" t="s">
        <v>4199</v>
      </c>
      <c r="C901" s="3" t="s">
        <v>4200</v>
      </c>
      <c r="D901" s="3" t="s">
        <v>52</v>
      </c>
      <c r="E901" s="3" t="s">
        <v>52</v>
      </c>
      <c r="F901" s="3" t="s">
        <v>3571</v>
      </c>
      <c r="G901" s="3" t="s">
        <v>3572</v>
      </c>
      <c r="H901" s="3" t="s">
        <v>438</v>
      </c>
      <c r="I901" s="3" t="s">
        <v>438</v>
      </c>
      <c r="J901" s="3" t="s">
        <v>1856</v>
      </c>
      <c r="K901" s="3" t="s">
        <v>82</v>
      </c>
      <c r="L901" s="3" t="s">
        <v>806</v>
      </c>
      <c r="M901" s="3" t="s">
        <v>82</v>
      </c>
      <c r="N901" s="3" t="s">
        <v>4201</v>
      </c>
      <c r="O901" s="3">
        <v>0</v>
      </c>
      <c r="P901" s="3">
        <v>15</v>
      </c>
      <c r="Q901" s="3" t="s">
        <v>60</v>
      </c>
      <c r="R901" s="3" t="s">
        <v>61</v>
      </c>
      <c r="S901" s="3">
        <v>24</v>
      </c>
      <c r="T901" s="3">
        <v>1</v>
      </c>
      <c r="U901" s="3">
        <v>23</v>
      </c>
      <c r="V901" s="3">
        <v>16</v>
      </c>
      <c r="W901" s="3">
        <v>0</v>
      </c>
      <c r="X901" s="3" t="s">
        <v>147</v>
      </c>
      <c r="Y901" s="3">
        <v>0</v>
      </c>
      <c r="Z901" s="3">
        <v>0</v>
      </c>
      <c r="AA901" s="3">
        <v>0</v>
      </c>
      <c r="AB901" s="3">
        <v>0</v>
      </c>
      <c r="AC901" s="3">
        <v>4</v>
      </c>
      <c r="AD901" s="3">
        <v>4</v>
      </c>
      <c r="AE901" s="3">
        <v>14</v>
      </c>
      <c r="AF901" s="3" t="s">
        <v>0</v>
      </c>
      <c r="AG901" s="3" t="s">
        <v>49</v>
      </c>
    </row>
    <row r="902" spans="1:33" ht="76.5" x14ac:dyDescent="0.2">
      <c r="A902" s="4" t="str">
        <f>HYPERLINK("http://www.patentics.cn/invokexml.do?sf=ShowPatent&amp;spn=US20110165856&amp;sv=2274ff3be34ff483bb6226df2fb41cdf","US20110165856")</f>
        <v>US20110165856</v>
      </c>
      <c r="B902" s="2" t="s">
        <v>4202</v>
      </c>
      <c r="C902" s="2" t="s">
        <v>4203</v>
      </c>
      <c r="D902" s="2" t="s">
        <v>346</v>
      </c>
      <c r="E902" s="2" t="s">
        <v>346</v>
      </c>
      <c r="F902" s="2" t="s">
        <v>4204</v>
      </c>
      <c r="G902" s="2" t="s">
        <v>4205</v>
      </c>
      <c r="H902" s="2" t="s">
        <v>4206</v>
      </c>
      <c r="I902" s="2" t="s">
        <v>4207</v>
      </c>
      <c r="J902" s="2" t="s">
        <v>182</v>
      </c>
      <c r="K902" s="2" t="s">
        <v>82</v>
      </c>
      <c r="L902" s="2" t="s">
        <v>4063</v>
      </c>
      <c r="M902" s="2" t="s">
        <v>0</v>
      </c>
      <c r="N902" s="2" t="s">
        <v>0</v>
      </c>
      <c r="O902" s="2">
        <v>17</v>
      </c>
      <c r="P902" s="2">
        <v>21</v>
      </c>
      <c r="Q902" s="2" t="s">
        <v>352</v>
      </c>
      <c r="R902" s="2" t="s">
        <v>47</v>
      </c>
      <c r="S902" s="2">
        <v>0</v>
      </c>
      <c r="T902" s="2">
        <v>0</v>
      </c>
      <c r="U902" s="2">
        <v>0</v>
      </c>
      <c r="V902" s="2">
        <v>0</v>
      </c>
      <c r="W902" s="2">
        <v>12</v>
      </c>
      <c r="X902" s="2" t="s">
        <v>1878</v>
      </c>
      <c r="Y902" s="2">
        <v>1</v>
      </c>
      <c r="Z902" s="2">
        <v>11</v>
      </c>
      <c r="AA902" s="2">
        <v>7</v>
      </c>
      <c r="AB902" s="2">
        <v>1</v>
      </c>
      <c r="AC902" s="2">
        <v>6</v>
      </c>
      <c r="AD902" s="2">
        <v>4</v>
      </c>
      <c r="AE902" s="2" t="s">
        <v>0</v>
      </c>
      <c r="AF902" s="2">
        <v>3</v>
      </c>
      <c r="AG902" s="2" t="s">
        <v>49</v>
      </c>
    </row>
    <row r="903" spans="1:33" ht="76.5" x14ac:dyDescent="0.2">
      <c r="A903" s="5" t="str">
        <f>HYPERLINK("http://www.patentics.cn/invokexml.do?sf=ShowPatent&amp;spn=US8942660&amp;sv=388ad2672c3e4059549df05adc5e9cd8","US8942660")</f>
        <v>US8942660</v>
      </c>
      <c r="B903" s="3" t="s">
        <v>4208</v>
      </c>
      <c r="C903" s="3" t="s">
        <v>4209</v>
      </c>
      <c r="D903" s="3" t="s">
        <v>52</v>
      </c>
      <c r="E903" s="3" t="s">
        <v>52</v>
      </c>
      <c r="F903" s="3" t="s">
        <v>4210</v>
      </c>
      <c r="G903" s="3" t="s">
        <v>803</v>
      </c>
      <c r="H903" s="3" t="s">
        <v>3042</v>
      </c>
      <c r="I903" s="3" t="s">
        <v>1575</v>
      </c>
      <c r="J903" s="3" t="s">
        <v>918</v>
      </c>
      <c r="K903" s="3" t="s">
        <v>270</v>
      </c>
      <c r="L903" s="3" t="s">
        <v>4211</v>
      </c>
      <c r="M903" s="3" t="s">
        <v>82</v>
      </c>
      <c r="N903" s="3" t="s">
        <v>3421</v>
      </c>
      <c r="O903" s="3">
        <v>0</v>
      </c>
      <c r="P903" s="3">
        <v>23</v>
      </c>
      <c r="Q903" s="3" t="s">
        <v>60</v>
      </c>
      <c r="R903" s="3" t="s">
        <v>61</v>
      </c>
      <c r="S903" s="3">
        <v>22</v>
      </c>
      <c r="T903" s="3">
        <v>5</v>
      </c>
      <c r="U903" s="3">
        <v>17</v>
      </c>
      <c r="V903" s="3">
        <v>11</v>
      </c>
      <c r="W903" s="3">
        <v>1</v>
      </c>
      <c r="X903" s="3" t="s">
        <v>74</v>
      </c>
      <c r="Y903" s="3">
        <v>1</v>
      </c>
      <c r="Z903" s="3">
        <v>0</v>
      </c>
      <c r="AA903" s="3">
        <v>1</v>
      </c>
      <c r="AB903" s="3">
        <v>1</v>
      </c>
      <c r="AC903" s="3">
        <v>12</v>
      </c>
      <c r="AD903" s="3">
        <v>7</v>
      </c>
      <c r="AE903" s="3">
        <v>14</v>
      </c>
      <c r="AF903" s="3" t="s">
        <v>0</v>
      </c>
      <c r="AG903" s="3" t="s">
        <v>49</v>
      </c>
    </row>
    <row r="904" spans="1:33" ht="38.25" x14ac:dyDescent="0.2">
      <c r="A904" s="5" t="str">
        <f>HYPERLINK("http://www.patentics.cn/invokexml.do?sf=ShowPatent&amp;spn=US9307454&amp;sv=6216c5555992ad80bf5c746be58af8bc","US9307454")</f>
        <v>US9307454</v>
      </c>
      <c r="B904" s="3" t="s">
        <v>4212</v>
      </c>
      <c r="C904" s="3" t="s">
        <v>4213</v>
      </c>
      <c r="D904" s="3" t="s">
        <v>52</v>
      </c>
      <c r="E904" s="3" t="s">
        <v>52</v>
      </c>
      <c r="F904" s="3" t="s">
        <v>803</v>
      </c>
      <c r="G904" s="3" t="s">
        <v>803</v>
      </c>
      <c r="H904" s="3" t="s">
        <v>4214</v>
      </c>
      <c r="I904" s="3" t="s">
        <v>4215</v>
      </c>
      <c r="J904" s="3" t="s">
        <v>317</v>
      </c>
      <c r="K904" s="3" t="s">
        <v>82</v>
      </c>
      <c r="L904" s="3" t="s">
        <v>83</v>
      </c>
      <c r="M904" s="3" t="s">
        <v>82</v>
      </c>
      <c r="N904" s="3" t="s">
        <v>1529</v>
      </c>
      <c r="O904" s="3">
        <v>0</v>
      </c>
      <c r="P904" s="3">
        <v>15</v>
      </c>
      <c r="Q904" s="3" t="s">
        <v>60</v>
      </c>
      <c r="R904" s="3" t="s">
        <v>61</v>
      </c>
      <c r="S904" s="3">
        <v>29</v>
      </c>
      <c r="T904" s="3">
        <v>5</v>
      </c>
      <c r="U904" s="3">
        <v>24</v>
      </c>
      <c r="V904" s="3">
        <v>14</v>
      </c>
      <c r="W904" s="3">
        <v>6</v>
      </c>
      <c r="X904" s="3" t="s">
        <v>147</v>
      </c>
      <c r="Y904" s="3">
        <v>0</v>
      </c>
      <c r="Z904" s="3">
        <v>6</v>
      </c>
      <c r="AA904" s="3">
        <v>0</v>
      </c>
      <c r="AB904" s="3">
        <v>1</v>
      </c>
      <c r="AC904" s="3">
        <v>21</v>
      </c>
      <c r="AD904" s="3">
        <v>7</v>
      </c>
      <c r="AE904" s="3">
        <v>14</v>
      </c>
      <c r="AF904" s="3" t="s">
        <v>0</v>
      </c>
      <c r="AG904" s="3" t="s">
        <v>49</v>
      </c>
    </row>
    <row r="905" spans="1:33" ht="38.25" x14ac:dyDescent="0.2">
      <c r="A905" s="5" t="str">
        <f>HYPERLINK("http://www.patentics.cn/invokexml.do?sf=ShowPatent&amp;spn=US9357439&amp;sv=284314abf8d79873ed1bf0a1aad449dc","US9357439")</f>
        <v>US9357439</v>
      </c>
      <c r="B905" s="3" t="s">
        <v>4216</v>
      </c>
      <c r="C905" s="3" t="s">
        <v>4213</v>
      </c>
      <c r="D905" s="3" t="s">
        <v>52</v>
      </c>
      <c r="E905" s="3" t="s">
        <v>52</v>
      </c>
      <c r="F905" s="3" t="s">
        <v>803</v>
      </c>
      <c r="G905" s="3" t="s">
        <v>803</v>
      </c>
      <c r="H905" s="3" t="s">
        <v>4214</v>
      </c>
      <c r="I905" s="3" t="s">
        <v>4217</v>
      </c>
      <c r="J905" s="3" t="s">
        <v>1366</v>
      </c>
      <c r="K905" s="3" t="s">
        <v>82</v>
      </c>
      <c r="L905" s="3" t="s">
        <v>83</v>
      </c>
      <c r="M905" s="3" t="s">
        <v>82</v>
      </c>
      <c r="N905" s="3" t="s">
        <v>1529</v>
      </c>
      <c r="O905" s="3">
        <v>0</v>
      </c>
      <c r="P905" s="3">
        <v>8</v>
      </c>
      <c r="Q905" s="3" t="s">
        <v>60</v>
      </c>
      <c r="R905" s="3" t="s">
        <v>61</v>
      </c>
      <c r="S905" s="3">
        <v>32</v>
      </c>
      <c r="T905" s="3">
        <v>6</v>
      </c>
      <c r="U905" s="3">
        <v>26</v>
      </c>
      <c r="V905" s="3">
        <v>14</v>
      </c>
      <c r="W905" s="3">
        <v>6</v>
      </c>
      <c r="X905" s="3" t="s">
        <v>147</v>
      </c>
      <c r="Y905" s="3">
        <v>0</v>
      </c>
      <c r="Z905" s="3">
        <v>6</v>
      </c>
      <c r="AA905" s="3">
        <v>0</v>
      </c>
      <c r="AB905" s="3">
        <v>1</v>
      </c>
      <c r="AC905" s="3">
        <v>21</v>
      </c>
      <c r="AD905" s="3">
        <v>7</v>
      </c>
      <c r="AE905" s="3">
        <v>14</v>
      </c>
      <c r="AF905" s="3" t="s">
        <v>0</v>
      </c>
      <c r="AG905" s="3" t="s">
        <v>49</v>
      </c>
    </row>
    <row r="906" spans="1:33" ht="25.5" x14ac:dyDescent="0.2">
      <c r="A906" s="4" t="str">
        <f>HYPERLINK("http://www.patentics.cn/invokexml.do?sf=ShowPatent&amp;spn=US20110122823&amp;sv=4feafa609a1bc6cacfeebbeee027fc55","US20110122823")</f>
        <v>US20110122823</v>
      </c>
      <c r="B906" s="2" t="s">
        <v>4218</v>
      </c>
      <c r="C906" s="2" t="s">
        <v>4219</v>
      </c>
      <c r="D906" s="2" t="s">
        <v>346</v>
      </c>
      <c r="E906" s="2" t="s">
        <v>346</v>
      </c>
      <c r="F906" s="2" t="s">
        <v>4220</v>
      </c>
      <c r="G906" s="2" t="s">
        <v>4220</v>
      </c>
      <c r="H906" s="2" t="s">
        <v>4221</v>
      </c>
      <c r="I906" s="2" t="s">
        <v>4222</v>
      </c>
      <c r="J906" s="2" t="s">
        <v>3282</v>
      </c>
      <c r="K906" s="2" t="s">
        <v>82</v>
      </c>
      <c r="L906" s="2" t="s">
        <v>806</v>
      </c>
      <c r="M906" s="2" t="s">
        <v>0</v>
      </c>
      <c r="N906" s="2" t="s">
        <v>0</v>
      </c>
      <c r="O906" s="2">
        <v>15</v>
      </c>
      <c r="P906" s="2">
        <v>13</v>
      </c>
      <c r="Q906" s="2" t="s">
        <v>352</v>
      </c>
      <c r="R906" s="2" t="s">
        <v>47</v>
      </c>
      <c r="S906" s="2">
        <v>0</v>
      </c>
      <c r="T906" s="2">
        <v>0</v>
      </c>
      <c r="U906" s="2">
        <v>0</v>
      </c>
      <c r="V906" s="2">
        <v>0</v>
      </c>
      <c r="W906" s="2">
        <v>6</v>
      </c>
      <c r="X906" s="2" t="s">
        <v>896</v>
      </c>
      <c r="Y906" s="2">
        <v>0</v>
      </c>
      <c r="Z906" s="2">
        <v>6</v>
      </c>
      <c r="AA906" s="2">
        <v>2</v>
      </c>
      <c r="AB906" s="2">
        <v>1</v>
      </c>
      <c r="AC906" s="2">
        <v>10</v>
      </c>
      <c r="AD906" s="2">
        <v>5</v>
      </c>
      <c r="AE906" s="2" t="s">
        <v>0</v>
      </c>
      <c r="AF906" s="2">
        <v>3</v>
      </c>
      <c r="AG906" s="2" t="s">
        <v>49</v>
      </c>
    </row>
    <row r="907" spans="1:33" ht="114.75" x14ac:dyDescent="0.2">
      <c r="A907" s="5" t="str">
        <f>HYPERLINK("http://www.patentics.cn/invokexml.do?sf=ShowPatent&amp;spn=US9059785&amp;sv=0f4fafd657548eaa5dbe65f9e2fc4963","US9059785")</f>
        <v>US9059785</v>
      </c>
      <c r="B907" s="3" t="s">
        <v>4223</v>
      </c>
      <c r="C907" s="3" t="s">
        <v>4224</v>
      </c>
      <c r="D907" s="3" t="s">
        <v>52</v>
      </c>
      <c r="E907" s="3" t="s">
        <v>52</v>
      </c>
      <c r="F907" s="3" t="s">
        <v>4225</v>
      </c>
      <c r="G907" s="3" t="s">
        <v>4226</v>
      </c>
      <c r="H907" s="3" t="s">
        <v>182</v>
      </c>
      <c r="I907" s="3" t="s">
        <v>182</v>
      </c>
      <c r="J907" s="3" t="s">
        <v>1906</v>
      </c>
      <c r="K907" s="3" t="s">
        <v>84</v>
      </c>
      <c r="L907" s="3" t="s">
        <v>4227</v>
      </c>
      <c r="M907" s="3" t="s">
        <v>0</v>
      </c>
      <c r="N907" s="3" t="s">
        <v>0</v>
      </c>
      <c r="O907" s="3">
        <v>0</v>
      </c>
      <c r="P907" s="3">
        <v>6</v>
      </c>
      <c r="Q907" s="3" t="s">
        <v>60</v>
      </c>
      <c r="R907" s="3" t="s">
        <v>61</v>
      </c>
      <c r="S907" s="3">
        <v>20</v>
      </c>
      <c r="T907" s="3">
        <v>0</v>
      </c>
      <c r="U907" s="3">
        <v>20</v>
      </c>
      <c r="V907" s="3">
        <v>12</v>
      </c>
      <c r="W907" s="3">
        <v>0</v>
      </c>
      <c r="X907" s="3" t="s">
        <v>147</v>
      </c>
      <c r="Y907" s="3">
        <v>0</v>
      </c>
      <c r="Z907" s="3">
        <v>0</v>
      </c>
      <c r="AA907" s="3">
        <v>0</v>
      </c>
      <c r="AB907" s="3">
        <v>0</v>
      </c>
      <c r="AC907" s="3">
        <v>3</v>
      </c>
      <c r="AD907" s="3">
        <v>3</v>
      </c>
      <c r="AE907" s="3">
        <v>14</v>
      </c>
      <c r="AF907" s="3" t="s">
        <v>0</v>
      </c>
      <c r="AG907" s="3" t="s">
        <v>49</v>
      </c>
    </row>
    <row r="908" spans="1:33" ht="76.5" x14ac:dyDescent="0.2">
      <c r="A908" s="5" t="str">
        <f>HYPERLINK("http://www.patentics.cn/invokexml.do?sf=ShowPatent&amp;spn=US9125114&amp;sv=a83c0fac374d7c6a1fac4d019ba9b2c9","US9125114")</f>
        <v>US9125114</v>
      </c>
      <c r="B908" s="3" t="s">
        <v>4228</v>
      </c>
      <c r="C908" s="3" t="s">
        <v>4229</v>
      </c>
      <c r="D908" s="3" t="s">
        <v>52</v>
      </c>
      <c r="E908" s="3" t="s">
        <v>52</v>
      </c>
      <c r="F908" s="3" t="s">
        <v>3571</v>
      </c>
      <c r="G908" s="3" t="s">
        <v>3572</v>
      </c>
      <c r="H908" s="3" t="s">
        <v>4230</v>
      </c>
      <c r="I908" s="3" t="s">
        <v>4230</v>
      </c>
      <c r="J908" s="3" t="s">
        <v>816</v>
      </c>
      <c r="K908" s="3" t="s">
        <v>82</v>
      </c>
      <c r="L908" s="3" t="s">
        <v>806</v>
      </c>
      <c r="M908" s="3" t="s">
        <v>0</v>
      </c>
      <c r="N908" s="3" t="s">
        <v>0</v>
      </c>
      <c r="O908" s="3">
        <v>0</v>
      </c>
      <c r="P908" s="3">
        <v>17</v>
      </c>
      <c r="Q908" s="3" t="s">
        <v>60</v>
      </c>
      <c r="R908" s="3" t="s">
        <v>61</v>
      </c>
      <c r="S908" s="3">
        <v>14</v>
      </c>
      <c r="T908" s="3">
        <v>0</v>
      </c>
      <c r="U908" s="3">
        <v>14</v>
      </c>
      <c r="V908" s="3">
        <v>9</v>
      </c>
      <c r="W908" s="3">
        <v>1</v>
      </c>
      <c r="X908" s="3" t="s">
        <v>1186</v>
      </c>
      <c r="Y908" s="3">
        <v>1</v>
      </c>
      <c r="Z908" s="3">
        <v>0</v>
      </c>
      <c r="AA908" s="3">
        <v>1</v>
      </c>
      <c r="AB908" s="3">
        <v>1</v>
      </c>
      <c r="AC908" s="3">
        <v>3</v>
      </c>
      <c r="AD908" s="3">
        <v>3</v>
      </c>
      <c r="AE908" s="3">
        <v>14</v>
      </c>
      <c r="AF908" s="3" t="s">
        <v>0</v>
      </c>
      <c r="AG908" s="3" t="s">
        <v>49</v>
      </c>
    </row>
    <row r="909" spans="1:33" ht="89.25" x14ac:dyDescent="0.2">
      <c r="A909" s="5" t="str">
        <f>HYPERLINK("http://www.patentics.cn/invokexml.do?sf=ShowPatent&amp;spn=US9326204&amp;sv=1ddbaa68f8ac951f847ea24c98b5ed72","US9326204")</f>
        <v>US9326204</v>
      </c>
      <c r="B909" s="3" t="s">
        <v>4231</v>
      </c>
      <c r="C909" s="3" t="s">
        <v>4232</v>
      </c>
      <c r="D909" s="3" t="s">
        <v>52</v>
      </c>
      <c r="E909" s="3" t="s">
        <v>52</v>
      </c>
      <c r="F909" s="3" t="s">
        <v>4233</v>
      </c>
      <c r="G909" s="3" t="s">
        <v>1458</v>
      </c>
      <c r="H909" s="3" t="s">
        <v>316</v>
      </c>
      <c r="I909" s="3" t="s">
        <v>316</v>
      </c>
      <c r="J909" s="3" t="s">
        <v>2543</v>
      </c>
      <c r="K909" s="3" t="s">
        <v>82</v>
      </c>
      <c r="L909" s="3" t="s">
        <v>83</v>
      </c>
      <c r="M909" s="3" t="s">
        <v>82</v>
      </c>
      <c r="N909" s="3" t="s">
        <v>3509</v>
      </c>
      <c r="O909" s="3">
        <v>0</v>
      </c>
      <c r="P909" s="3">
        <v>15</v>
      </c>
      <c r="Q909" s="3" t="s">
        <v>60</v>
      </c>
      <c r="R909" s="3" t="s">
        <v>61</v>
      </c>
      <c r="S909" s="3">
        <v>17</v>
      </c>
      <c r="T909" s="3">
        <v>3</v>
      </c>
      <c r="U909" s="3">
        <v>14</v>
      </c>
      <c r="V909" s="3">
        <v>9</v>
      </c>
      <c r="W909" s="3">
        <v>0</v>
      </c>
      <c r="X909" s="3" t="s">
        <v>147</v>
      </c>
      <c r="Y909" s="3">
        <v>0</v>
      </c>
      <c r="Z909" s="3">
        <v>0</v>
      </c>
      <c r="AA909" s="3">
        <v>0</v>
      </c>
      <c r="AB909" s="3">
        <v>0</v>
      </c>
      <c r="AC909" s="3">
        <v>2</v>
      </c>
      <c r="AD909" s="3">
        <v>2</v>
      </c>
      <c r="AE909" s="3">
        <v>14</v>
      </c>
      <c r="AF909" s="3" t="s">
        <v>0</v>
      </c>
      <c r="AG909" s="3" t="s">
        <v>49</v>
      </c>
    </row>
    <row r="910" spans="1:33" ht="76.5" x14ac:dyDescent="0.2">
      <c r="A910" s="4" t="str">
        <f>HYPERLINK("http://www.patentics.cn/invokexml.do?sf=ShowPatent&amp;spn=US20110096783&amp;sv=2625838398a7d0ad5d4ccd3da08ca54f","US20110096783")</f>
        <v>US20110096783</v>
      </c>
      <c r="B910" s="2" t="s">
        <v>4234</v>
      </c>
      <c r="C910" s="2" t="s">
        <v>4235</v>
      </c>
      <c r="D910" s="2" t="s">
        <v>346</v>
      </c>
      <c r="E910" s="2" t="s">
        <v>346</v>
      </c>
      <c r="F910" s="2" t="s">
        <v>4236</v>
      </c>
      <c r="G910" s="2" t="s">
        <v>1314</v>
      </c>
      <c r="H910" s="2" t="s">
        <v>883</v>
      </c>
      <c r="I910" s="2" t="s">
        <v>604</v>
      </c>
      <c r="J910" s="2" t="s">
        <v>1748</v>
      </c>
      <c r="K910" s="2" t="s">
        <v>58</v>
      </c>
      <c r="L910" s="2" t="s">
        <v>1236</v>
      </c>
      <c r="M910" s="2" t="s">
        <v>0</v>
      </c>
      <c r="N910" s="2" t="s">
        <v>0</v>
      </c>
      <c r="O910" s="2">
        <v>23</v>
      </c>
      <c r="P910" s="2">
        <v>34</v>
      </c>
      <c r="Q910" s="2" t="s">
        <v>352</v>
      </c>
      <c r="R910" s="2" t="s">
        <v>61</v>
      </c>
      <c r="S910" s="2">
        <v>1</v>
      </c>
      <c r="T910" s="2">
        <v>1</v>
      </c>
      <c r="U910" s="2">
        <v>0</v>
      </c>
      <c r="V910" s="2">
        <v>1</v>
      </c>
      <c r="W910" s="2">
        <v>18</v>
      </c>
      <c r="X910" s="2" t="s">
        <v>4237</v>
      </c>
      <c r="Y910" s="2">
        <v>0</v>
      </c>
      <c r="Z910" s="2">
        <v>18</v>
      </c>
      <c r="AA910" s="2">
        <v>5</v>
      </c>
      <c r="AB910" s="2">
        <v>2</v>
      </c>
      <c r="AC910" s="2">
        <v>18</v>
      </c>
      <c r="AD910" s="2">
        <v>6</v>
      </c>
      <c r="AE910" s="2" t="s">
        <v>0</v>
      </c>
      <c r="AF910" s="2">
        <v>3</v>
      </c>
      <c r="AG910" s="2" t="s">
        <v>49</v>
      </c>
    </row>
    <row r="911" spans="1:33" ht="51" x14ac:dyDescent="0.2">
      <c r="A911" s="5" t="str">
        <f>HYPERLINK("http://www.patentics.cn/invokexml.do?sf=ShowPatent&amp;spn=US8804693&amp;sv=4c023a1dc567e05c3c0f7ccad50ac270","US8804693")</f>
        <v>US8804693</v>
      </c>
      <c r="B911" s="3" t="s">
        <v>4238</v>
      </c>
      <c r="C911" s="3" t="s">
        <v>4239</v>
      </c>
      <c r="D911" s="3" t="s">
        <v>52</v>
      </c>
      <c r="E911" s="3" t="s">
        <v>52</v>
      </c>
      <c r="F911" s="3" t="s">
        <v>4240</v>
      </c>
      <c r="G911" s="3" t="s">
        <v>4241</v>
      </c>
      <c r="H911" s="3" t="s">
        <v>1999</v>
      </c>
      <c r="I911" s="3" t="s">
        <v>703</v>
      </c>
      <c r="J911" s="3" t="s">
        <v>554</v>
      </c>
      <c r="K911" s="3" t="s">
        <v>58</v>
      </c>
      <c r="L911" s="3" t="s">
        <v>289</v>
      </c>
      <c r="M911" s="3" t="s">
        <v>58</v>
      </c>
      <c r="N911" s="3" t="s">
        <v>4242</v>
      </c>
      <c r="O911" s="3">
        <v>0</v>
      </c>
      <c r="P911" s="3">
        <v>9</v>
      </c>
      <c r="Q911" s="3" t="s">
        <v>60</v>
      </c>
      <c r="R911" s="3" t="s">
        <v>61</v>
      </c>
      <c r="S911" s="3">
        <v>31</v>
      </c>
      <c r="T911" s="3">
        <v>20</v>
      </c>
      <c r="U911" s="3">
        <v>11</v>
      </c>
      <c r="V911" s="3">
        <v>11</v>
      </c>
      <c r="W911" s="3">
        <v>1</v>
      </c>
      <c r="X911" s="3" t="s">
        <v>147</v>
      </c>
      <c r="Y911" s="3">
        <v>1</v>
      </c>
      <c r="Z911" s="3">
        <v>0</v>
      </c>
      <c r="AA911" s="3">
        <v>1</v>
      </c>
      <c r="AB911" s="3">
        <v>1</v>
      </c>
      <c r="AC911" s="3">
        <v>116</v>
      </c>
      <c r="AD911" s="3">
        <v>7</v>
      </c>
      <c r="AE911" s="3">
        <v>14</v>
      </c>
      <c r="AF911" s="3" t="s">
        <v>0</v>
      </c>
      <c r="AG911" s="3" t="s">
        <v>49</v>
      </c>
    </row>
    <row r="912" spans="1:33" ht="51" x14ac:dyDescent="0.2">
      <c r="A912" s="5" t="str">
        <f>HYPERLINK("http://www.patentics.cn/invokexml.do?sf=ShowPatent&amp;spn=US9608777&amp;sv=0edf7a545d7efe9c09d47faae439cd81","US9608777")</f>
        <v>US9608777</v>
      </c>
      <c r="B912" s="3" t="s">
        <v>4243</v>
      </c>
      <c r="C912" s="3" t="s">
        <v>4244</v>
      </c>
      <c r="D912" s="3" t="s">
        <v>52</v>
      </c>
      <c r="E912" s="3" t="s">
        <v>52</v>
      </c>
      <c r="F912" s="3" t="s">
        <v>4245</v>
      </c>
      <c r="G912" s="3" t="s">
        <v>3479</v>
      </c>
      <c r="H912" s="3" t="s">
        <v>0</v>
      </c>
      <c r="I912" s="3" t="s">
        <v>4180</v>
      </c>
      <c r="J912" s="3" t="s">
        <v>3892</v>
      </c>
      <c r="K912" s="3" t="s">
        <v>58</v>
      </c>
      <c r="L912" s="3" t="s">
        <v>188</v>
      </c>
      <c r="M912" s="3" t="s">
        <v>58</v>
      </c>
      <c r="N912" s="3" t="s">
        <v>512</v>
      </c>
      <c r="O912" s="3">
        <v>0</v>
      </c>
      <c r="P912" s="3">
        <v>10</v>
      </c>
      <c r="Q912" s="3" t="s">
        <v>60</v>
      </c>
      <c r="R912" s="3" t="s">
        <v>61</v>
      </c>
      <c r="S912" s="3">
        <v>16</v>
      </c>
      <c r="T912" s="3">
        <v>4</v>
      </c>
      <c r="U912" s="3">
        <v>12</v>
      </c>
      <c r="V912" s="3">
        <v>10</v>
      </c>
      <c r="W912" s="3">
        <v>0</v>
      </c>
      <c r="X912" s="3" t="s">
        <v>147</v>
      </c>
      <c r="Y912" s="3">
        <v>0</v>
      </c>
      <c r="Z912" s="3">
        <v>0</v>
      </c>
      <c r="AA912" s="3">
        <v>0</v>
      </c>
      <c r="AB912" s="3">
        <v>0</v>
      </c>
      <c r="AC912" s="3">
        <v>0</v>
      </c>
      <c r="AD912" s="3">
        <v>0</v>
      </c>
      <c r="AE912" s="3">
        <v>14</v>
      </c>
      <c r="AF912" s="3" t="s">
        <v>0</v>
      </c>
      <c r="AG912" s="3" t="s">
        <v>49</v>
      </c>
    </row>
    <row r="913" spans="1:33" ht="51" x14ac:dyDescent="0.2">
      <c r="A913" s="5" t="str">
        <f>HYPERLINK("http://www.patentics.cn/invokexml.do?sf=ShowPatent&amp;spn=US9608778&amp;sv=57f13733df80c5cd042cb91bc425cf56","US9608778")</f>
        <v>US9608778</v>
      </c>
      <c r="B913" s="3" t="s">
        <v>4246</v>
      </c>
      <c r="C913" s="3" t="s">
        <v>4244</v>
      </c>
      <c r="D913" s="3" t="s">
        <v>52</v>
      </c>
      <c r="E913" s="3" t="s">
        <v>52</v>
      </c>
      <c r="F913" s="3" t="s">
        <v>4245</v>
      </c>
      <c r="G913" s="3" t="s">
        <v>3479</v>
      </c>
      <c r="H913" s="3" t="s">
        <v>0</v>
      </c>
      <c r="I913" s="3" t="s">
        <v>4180</v>
      </c>
      <c r="J913" s="3" t="s">
        <v>3892</v>
      </c>
      <c r="K913" s="3" t="s">
        <v>58</v>
      </c>
      <c r="L913" s="3" t="s">
        <v>188</v>
      </c>
      <c r="M913" s="3" t="s">
        <v>58</v>
      </c>
      <c r="N913" s="3" t="s">
        <v>512</v>
      </c>
      <c r="O913" s="3">
        <v>0</v>
      </c>
      <c r="P913" s="3">
        <v>10</v>
      </c>
      <c r="Q913" s="3" t="s">
        <v>60</v>
      </c>
      <c r="R913" s="3" t="s">
        <v>61</v>
      </c>
      <c r="S913" s="3">
        <v>16</v>
      </c>
      <c r="T913" s="3">
        <v>4</v>
      </c>
      <c r="U913" s="3">
        <v>12</v>
      </c>
      <c r="V913" s="3">
        <v>10</v>
      </c>
      <c r="W913" s="3">
        <v>0</v>
      </c>
      <c r="X913" s="3" t="s">
        <v>147</v>
      </c>
      <c r="Y913" s="3">
        <v>0</v>
      </c>
      <c r="Z913" s="3">
        <v>0</v>
      </c>
      <c r="AA913" s="3">
        <v>0</v>
      </c>
      <c r="AB913" s="3">
        <v>0</v>
      </c>
      <c r="AC913" s="3">
        <v>0</v>
      </c>
      <c r="AD913" s="3">
        <v>0</v>
      </c>
      <c r="AE913" s="3">
        <v>14</v>
      </c>
      <c r="AF913" s="3" t="s">
        <v>0</v>
      </c>
      <c r="AG913" s="3" t="s">
        <v>49</v>
      </c>
    </row>
    <row r="914" spans="1:33" ht="38.25" x14ac:dyDescent="0.2">
      <c r="A914" s="4" t="str">
        <f>HYPERLINK("http://www.patentics.cn/invokexml.do?sf=ShowPatent&amp;spn=US20100322163&amp;sv=76ed53305ccab18ba1f8c4ff152a8a8d","US20100322163")</f>
        <v>US20100322163</v>
      </c>
      <c r="B914" s="2" t="s">
        <v>4247</v>
      </c>
      <c r="C914" s="2" t="s">
        <v>4248</v>
      </c>
      <c r="D914" s="2" t="s">
        <v>346</v>
      </c>
      <c r="E914" s="2" t="s">
        <v>346</v>
      </c>
      <c r="F914" s="2" t="s">
        <v>4249</v>
      </c>
      <c r="G914" s="2" t="s">
        <v>3194</v>
      </c>
      <c r="H914" s="2" t="s">
        <v>4250</v>
      </c>
      <c r="I914" s="2" t="s">
        <v>4251</v>
      </c>
      <c r="J914" s="2" t="s">
        <v>1191</v>
      </c>
      <c r="K914" s="2" t="s">
        <v>58</v>
      </c>
      <c r="L914" s="2" t="s">
        <v>289</v>
      </c>
      <c r="M914" s="2" t="s">
        <v>82</v>
      </c>
      <c r="N914" s="2" t="s">
        <v>1537</v>
      </c>
      <c r="O914" s="2">
        <v>26</v>
      </c>
      <c r="P914" s="2">
        <v>8</v>
      </c>
      <c r="Q914" s="2" t="s">
        <v>352</v>
      </c>
      <c r="R914" s="2" t="s">
        <v>61</v>
      </c>
      <c r="S914" s="2">
        <v>0</v>
      </c>
      <c r="T914" s="2">
        <v>0</v>
      </c>
      <c r="U914" s="2">
        <v>0</v>
      </c>
      <c r="V914" s="2">
        <v>0</v>
      </c>
      <c r="W914" s="2">
        <v>10</v>
      </c>
      <c r="X914" s="2" t="s">
        <v>4252</v>
      </c>
      <c r="Y914" s="2">
        <v>2</v>
      </c>
      <c r="Z914" s="2">
        <v>8</v>
      </c>
      <c r="AA914" s="2">
        <v>7</v>
      </c>
      <c r="AB914" s="2">
        <v>2</v>
      </c>
      <c r="AC914" s="2">
        <v>14</v>
      </c>
      <c r="AD914" s="2">
        <v>5</v>
      </c>
      <c r="AE914" s="2" t="s">
        <v>0</v>
      </c>
      <c r="AF914" s="2">
        <v>3</v>
      </c>
      <c r="AG914" s="2" t="s">
        <v>49</v>
      </c>
    </row>
    <row r="915" spans="1:33" ht="140.25" x14ac:dyDescent="0.2">
      <c r="A915" s="5" t="str">
        <f>HYPERLINK("http://www.patentics.cn/invokexml.do?sf=ShowPatent&amp;spn=US8743828&amp;sv=d20089792e1266d6847f772078c9d74a","US8743828")</f>
        <v>US8743828</v>
      </c>
      <c r="B915" s="3" t="s">
        <v>4253</v>
      </c>
      <c r="C915" s="3" t="s">
        <v>4254</v>
      </c>
      <c r="D915" s="3" t="s">
        <v>52</v>
      </c>
      <c r="E915" s="3" t="s">
        <v>52</v>
      </c>
      <c r="F915" s="3" t="s">
        <v>4255</v>
      </c>
      <c r="G915" s="3" t="s">
        <v>1253</v>
      </c>
      <c r="H915" s="3" t="s">
        <v>4256</v>
      </c>
      <c r="I915" s="3" t="s">
        <v>4257</v>
      </c>
      <c r="J915" s="3" t="s">
        <v>3505</v>
      </c>
      <c r="K915" s="3" t="s">
        <v>82</v>
      </c>
      <c r="L915" s="3" t="s">
        <v>177</v>
      </c>
      <c r="M915" s="3" t="s">
        <v>82</v>
      </c>
      <c r="N915" s="3" t="s">
        <v>4258</v>
      </c>
      <c r="O915" s="3">
        <v>0</v>
      </c>
      <c r="P915" s="3">
        <v>22</v>
      </c>
      <c r="Q915" s="3" t="s">
        <v>60</v>
      </c>
      <c r="R915" s="3" t="s">
        <v>61</v>
      </c>
      <c r="S915" s="3">
        <v>16</v>
      </c>
      <c r="T915" s="3">
        <v>2</v>
      </c>
      <c r="U915" s="3">
        <v>14</v>
      </c>
      <c r="V915" s="3">
        <v>7</v>
      </c>
      <c r="W915" s="3">
        <v>2</v>
      </c>
      <c r="X915" s="3" t="s">
        <v>3185</v>
      </c>
      <c r="Y915" s="3">
        <v>1</v>
      </c>
      <c r="Z915" s="3">
        <v>1</v>
      </c>
      <c r="AA915" s="3">
        <v>2</v>
      </c>
      <c r="AB915" s="3">
        <v>1</v>
      </c>
      <c r="AC915" s="3">
        <v>11</v>
      </c>
      <c r="AD915" s="3">
        <v>7</v>
      </c>
      <c r="AE915" s="3">
        <v>14</v>
      </c>
      <c r="AF915" s="3" t="s">
        <v>0</v>
      </c>
      <c r="AG915" s="3" t="s">
        <v>49</v>
      </c>
    </row>
    <row r="916" spans="1:33" ht="178.5" x14ac:dyDescent="0.2">
      <c r="A916" s="5" t="str">
        <f>HYPERLINK("http://www.patentics.cn/invokexml.do?sf=ShowPatent&amp;spn=US8929334&amp;sv=8ec3f6f9d6e8111652edf0c456d96192","US8929334")</f>
        <v>US8929334</v>
      </c>
      <c r="B916" s="3" t="s">
        <v>4259</v>
      </c>
      <c r="C916" s="3" t="s">
        <v>4254</v>
      </c>
      <c r="D916" s="3" t="s">
        <v>52</v>
      </c>
      <c r="E916" s="3" t="s">
        <v>52</v>
      </c>
      <c r="F916" s="3" t="s">
        <v>4260</v>
      </c>
      <c r="G916" s="3" t="s">
        <v>1253</v>
      </c>
      <c r="H916" s="3" t="s">
        <v>4256</v>
      </c>
      <c r="I916" s="3" t="s">
        <v>4257</v>
      </c>
      <c r="J916" s="3" t="s">
        <v>4261</v>
      </c>
      <c r="K916" s="3" t="s">
        <v>82</v>
      </c>
      <c r="L916" s="3" t="s">
        <v>83</v>
      </c>
      <c r="M916" s="3" t="s">
        <v>82</v>
      </c>
      <c r="N916" s="3" t="s">
        <v>4258</v>
      </c>
      <c r="O916" s="3">
        <v>0</v>
      </c>
      <c r="P916" s="3">
        <v>15</v>
      </c>
      <c r="Q916" s="3" t="s">
        <v>60</v>
      </c>
      <c r="R916" s="3" t="s">
        <v>61</v>
      </c>
      <c r="S916" s="3">
        <v>21</v>
      </c>
      <c r="T916" s="3">
        <v>2</v>
      </c>
      <c r="U916" s="3">
        <v>19</v>
      </c>
      <c r="V916" s="3">
        <v>11</v>
      </c>
      <c r="W916" s="3">
        <v>0</v>
      </c>
      <c r="X916" s="3" t="s">
        <v>147</v>
      </c>
      <c r="Y916" s="3">
        <v>0</v>
      </c>
      <c r="Z916" s="3">
        <v>0</v>
      </c>
      <c r="AA916" s="3">
        <v>0</v>
      </c>
      <c r="AB916" s="3">
        <v>0</v>
      </c>
      <c r="AC916" s="3">
        <v>11</v>
      </c>
      <c r="AD916" s="3">
        <v>7</v>
      </c>
      <c r="AE916" s="3">
        <v>14</v>
      </c>
      <c r="AF916" s="3" t="s">
        <v>0</v>
      </c>
      <c r="AG916" s="3" t="s">
        <v>49</v>
      </c>
    </row>
    <row r="917" spans="1:33" ht="51" x14ac:dyDescent="0.2">
      <c r="A917" s="5" t="str">
        <f>HYPERLINK("http://www.patentics.cn/invokexml.do?sf=ShowPatent&amp;spn=WO2012009481&amp;sv=68c26e471e971304182de6912d44a1a4","WO2012009481")</f>
        <v>WO2012009481</v>
      </c>
      <c r="B917" s="3" t="s">
        <v>4262</v>
      </c>
      <c r="C917" s="3" t="s">
        <v>4263</v>
      </c>
      <c r="D917" s="3" t="s">
        <v>4264</v>
      </c>
      <c r="E917" s="3" t="s">
        <v>4265</v>
      </c>
      <c r="F917" s="3" t="s">
        <v>4266</v>
      </c>
      <c r="G917" s="3" t="s">
        <v>4266</v>
      </c>
      <c r="H917" s="3" t="s">
        <v>569</v>
      </c>
      <c r="I917" s="3" t="s">
        <v>4267</v>
      </c>
      <c r="J917" s="3" t="s">
        <v>475</v>
      </c>
      <c r="K917" s="3" t="s">
        <v>82</v>
      </c>
      <c r="L917" s="3" t="s">
        <v>2015</v>
      </c>
      <c r="M917" s="3" t="s">
        <v>0</v>
      </c>
      <c r="N917" s="3" t="s">
        <v>0</v>
      </c>
      <c r="O917" s="3">
        <v>43</v>
      </c>
      <c r="P917" s="3">
        <v>12</v>
      </c>
      <c r="Q917" s="3" t="s">
        <v>352</v>
      </c>
      <c r="R917" s="3" t="s">
        <v>61</v>
      </c>
      <c r="S917" s="3">
        <v>6</v>
      </c>
      <c r="T917" s="3">
        <v>0</v>
      </c>
      <c r="U917" s="3">
        <v>6</v>
      </c>
      <c r="V917" s="3">
        <v>5</v>
      </c>
      <c r="W917" s="3">
        <v>0</v>
      </c>
      <c r="X917" s="3" t="s">
        <v>147</v>
      </c>
      <c r="Y917" s="3">
        <v>0</v>
      </c>
      <c r="Z917" s="3">
        <v>0</v>
      </c>
      <c r="AA917" s="3">
        <v>0</v>
      </c>
      <c r="AB917" s="3">
        <v>0</v>
      </c>
      <c r="AC917" s="3">
        <v>5</v>
      </c>
      <c r="AD917" s="3">
        <v>6</v>
      </c>
      <c r="AE917" s="3">
        <v>14</v>
      </c>
      <c r="AF917" s="3" t="s">
        <v>0</v>
      </c>
      <c r="AG917" s="3" t="s">
        <v>0</v>
      </c>
    </row>
    <row r="918" spans="1:33" ht="63.75" x14ac:dyDescent="0.2">
      <c r="A918" s="4" t="str">
        <f>HYPERLINK("http://www.patentics.cn/invokexml.do?sf=ShowPatent&amp;spn=US20100150069&amp;sv=9b45313f0ca0b0020b396ef329b9cab5","US20100150069")</f>
        <v>US20100150069</v>
      </c>
      <c r="B918" s="2" t="s">
        <v>4268</v>
      </c>
      <c r="C918" s="2" t="s">
        <v>4269</v>
      </c>
      <c r="D918" s="2" t="s">
        <v>346</v>
      </c>
      <c r="E918" s="2" t="s">
        <v>346</v>
      </c>
      <c r="F918" s="2" t="s">
        <v>4270</v>
      </c>
      <c r="G918" s="2" t="s">
        <v>1006</v>
      </c>
      <c r="H918" s="2" t="s">
        <v>1261</v>
      </c>
      <c r="I918" s="2" t="s">
        <v>4271</v>
      </c>
      <c r="J918" s="2" t="s">
        <v>2924</v>
      </c>
      <c r="K918" s="2" t="s">
        <v>82</v>
      </c>
      <c r="L918" s="2" t="s">
        <v>2544</v>
      </c>
      <c r="M918" s="2" t="s">
        <v>58</v>
      </c>
      <c r="N918" s="2" t="s">
        <v>103</v>
      </c>
      <c r="O918" s="2">
        <v>37</v>
      </c>
      <c r="P918" s="2">
        <v>9</v>
      </c>
      <c r="Q918" s="2" t="s">
        <v>352</v>
      </c>
      <c r="R918" s="2" t="s">
        <v>61</v>
      </c>
      <c r="S918" s="2">
        <v>0</v>
      </c>
      <c r="T918" s="2">
        <v>0</v>
      </c>
      <c r="U918" s="2">
        <v>0</v>
      </c>
      <c r="V918" s="2">
        <v>0</v>
      </c>
      <c r="W918" s="2">
        <v>11</v>
      </c>
      <c r="X918" s="2" t="s">
        <v>4272</v>
      </c>
      <c r="Y918" s="2">
        <v>0</v>
      </c>
      <c r="Z918" s="2">
        <v>11</v>
      </c>
      <c r="AA918" s="2">
        <v>5</v>
      </c>
      <c r="AB918" s="2">
        <v>1</v>
      </c>
      <c r="AC918" s="2">
        <v>6</v>
      </c>
      <c r="AD918" s="2">
        <v>4</v>
      </c>
      <c r="AE918" s="2" t="s">
        <v>0</v>
      </c>
      <c r="AF918" s="2">
        <v>3</v>
      </c>
      <c r="AG918" s="2" t="s">
        <v>49</v>
      </c>
    </row>
    <row r="919" spans="1:33" ht="51" x14ac:dyDescent="0.2">
      <c r="A919" s="5" t="str">
        <f>HYPERLINK("http://www.patentics.cn/invokexml.do?sf=ShowPatent&amp;spn=US8565061&amp;sv=bd456b2f701aadea22a51adb14c8bcc0","US8565061")</f>
        <v>US8565061</v>
      </c>
      <c r="B919" s="3" t="s">
        <v>4273</v>
      </c>
      <c r="C919" s="3" t="s">
        <v>4274</v>
      </c>
      <c r="D919" s="3" t="s">
        <v>52</v>
      </c>
      <c r="E919" s="3" t="s">
        <v>52</v>
      </c>
      <c r="F919" s="3" t="s">
        <v>4275</v>
      </c>
      <c r="G919" s="3" t="s">
        <v>1458</v>
      </c>
      <c r="H919" s="3" t="s">
        <v>4276</v>
      </c>
      <c r="I919" s="3" t="s">
        <v>422</v>
      </c>
      <c r="J919" s="3" t="s">
        <v>113</v>
      </c>
      <c r="K919" s="3" t="s">
        <v>70</v>
      </c>
      <c r="L919" s="3" t="s">
        <v>71</v>
      </c>
      <c r="M919" s="3" t="s">
        <v>58</v>
      </c>
      <c r="N919" s="3" t="s">
        <v>512</v>
      </c>
      <c r="O919" s="3">
        <v>0</v>
      </c>
      <c r="P919" s="3">
        <v>9</v>
      </c>
      <c r="Q919" s="3" t="s">
        <v>60</v>
      </c>
      <c r="R919" s="3" t="s">
        <v>61</v>
      </c>
      <c r="S919" s="3">
        <v>37</v>
      </c>
      <c r="T919" s="3">
        <v>5</v>
      </c>
      <c r="U919" s="3">
        <v>32</v>
      </c>
      <c r="V919" s="3">
        <v>17</v>
      </c>
      <c r="W919" s="3">
        <v>8</v>
      </c>
      <c r="X919" s="3" t="s">
        <v>147</v>
      </c>
      <c r="Y919" s="3">
        <v>0</v>
      </c>
      <c r="Z919" s="3">
        <v>8</v>
      </c>
      <c r="AA919" s="3">
        <v>0</v>
      </c>
      <c r="AB919" s="3">
        <v>1</v>
      </c>
      <c r="AC919" s="3">
        <v>11</v>
      </c>
      <c r="AD919" s="3">
        <v>7</v>
      </c>
      <c r="AE919" s="3">
        <v>14</v>
      </c>
      <c r="AF919" s="3" t="s">
        <v>0</v>
      </c>
      <c r="AG919" s="3" t="s">
        <v>49</v>
      </c>
    </row>
    <row r="920" spans="1:33" ht="89.25" x14ac:dyDescent="0.2">
      <c r="A920" s="5" t="str">
        <f>HYPERLINK("http://www.patentics.cn/invokexml.do?sf=ShowPatent&amp;spn=US8867420&amp;sv=318b6ef082329cb3f195b7a9e79bc8d9","US8867420")</f>
        <v>US8867420</v>
      </c>
      <c r="B920" s="3" t="s">
        <v>4277</v>
      </c>
      <c r="C920" s="3" t="s">
        <v>4278</v>
      </c>
      <c r="D920" s="3" t="s">
        <v>52</v>
      </c>
      <c r="E920" s="3" t="s">
        <v>52</v>
      </c>
      <c r="F920" s="3" t="s">
        <v>4279</v>
      </c>
      <c r="G920" s="3" t="s">
        <v>4280</v>
      </c>
      <c r="H920" s="3" t="s">
        <v>4281</v>
      </c>
      <c r="I920" s="3" t="s">
        <v>4282</v>
      </c>
      <c r="J920" s="3" t="s">
        <v>4283</v>
      </c>
      <c r="K920" s="3" t="s">
        <v>457</v>
      </c>
      <c r="L920" s="3" t="s">
        <v>458</v>
      </c>
      <c r="M920" s="3" t="s">
        <v>82</v>
      </c>
      <c r="N920" s="3" t="s">
        <v>4284</v>
      </c>
      <c r="O920" s="3">
        <v>0</v>
      </c>
      <c r="P920" s="3">
        <v>15</v>
      </c>
      <c r="Q920" s="3" t="s">
        <v>60</v>
      </c>
      <c r="R920" s="3" t="s">
        <v>61</v>
      </c>
      <c r="S920" s="3">
        <v>22</v>
      </c>
      <c r="T920" s="3">
        <v>2</v>
      </c>
      <c r="U920" s="3">
        <v>20</v>
      </c>
      <c r="V920" s="3">
        <v>13</v>
      </c>
      <c r="W920" s="3">
        <v>0</v>
      </c>
      <c r="X920" s="3" t="s">
        <v>147</v>
      </c>
      <c r="Y920" s="3">
        <v>0</v>
      </c>
      <c r="Z920" s="3">
        <v>0</v>
      </c>
      <c r="AA920" s="3">
        <v>0</v>
      </c>
      <c r="AB920" s="3">
        <v>0</v>
      </c>
      <c r="AC920" s="3">
        <v>10</v>
      </c>
      <c r="AD920" s="3">
        <v>6</v>
      </c>
      <c r="AE920" s="3">
        <v>14</v>
      </c>
      <c r="AF920" s="3" t="s">
        <v>0</v>
      </c>
      <c r="AG920" s="3" t="s">
        <v>49</v>
      </c>
    </row>
    <row r="921" spans="1:33" ht="153" x14ac:dyDescent="0.2">
      <c r="A921" s="5" t="str">
        <f>HYPERLINK("http://www.patentics.cn/invokexml.do?sf=ShowPatent&amp;spn=US9094164&amp;sv=49a0f67a4380c4c167e9bf948665fa46","US9094164")</f>
        <v>US9094164</v>
      </c>
      <c r="B921" s="3" t="s">
        <v>4285</v>
      </c>
      <c r="C921" s="3" t="s">
        <v>4286</v>
      </c>
      <c r="D921" s="3" t="s">
        <v>52</v>
      </c>
      <c r="E921" s="3" t="s">
        <v>52</v>
      </c>
      <c r="F921" s="3" t="s">
        <v>4287</v>
      </c>
      <c r="G921" s="3" t="s">
        <v>4288</v>
      </c>
      <c r="H921" s="3" t="s">
        <v>4289</v>
      </c>
      <c r="I921" s="3" t="s">
        <v>4289</v>
      </c>
      <c r="J921" s="3" t="s">
        <v>2214</v>
      </c>
      <c r="K921" s="3" t="s">
        <v>58</v>
      </c>
      <c r="L921" s="3" t="s">
        <v>188</v>
      </c>
      <c r="M921" s="3" t="s">
        <v>0</v>
      </c>
      <c r="N921" s="3" t="s">
        <v>0</v>
      </c>
      <c r="O921" s="3">
        <v>0</v>
      </c>
      <c r="P921" s="3">
        <v>18</v>
      </c>
      <c r="Q921" s="3" t="s">
        <v>60</v>
      </c>
      <c r="R921" s="3" t="s">
        <v>61</v>
      </c>
      <c r="S921" s="3">
        <v>17</v>
      </c>
      <c r="T921" s="3">
        <v>4</v>
      </c>
      <c r="U921" s="3">
        <v>13</v>
      </c>
      <c r="V921" s="3">
        <v>11</v>
      </c>
      <c r="W921" s="3">
        <v>0</v>
      </c>
      <c r="X921" s="3" t="s">
        <v>147</v>
      </c>
      <c r="Y921" s="3">
        <v>0</v>
      </c>
      <c r="Z921" s="3">
        <v>0</v>
      </c>
      <c r="AA921" s="3">
        <v>0</v>
      </c>
      <c r="AB921" s="3">
        <v>0</v>
      </c>
      <c r="AC921" s="3">
        <v>3</v>
      </c>
      <c r="AD921" s="3">
        <v>2</v>
      </c>
      <c r="AE921" s="3">
        <v>14</v>
      </c>
      <c r="AF921" s="3" t="s">
        <v>0</v>
      </c>
      <c r="AG921" s="3" t="s">
        <v>49</v>
      </c>
    </row>
    <row r="922" spans="1:33" ht="76.5" x14ac:dyDescent="0.2">
      <c r="A922" s="4" t="str">
        <f>HYPERLINK("http://www.patentics.cn/invokexml.do?sf=ShowPatent&amp;spn=US20080075181&amp;sv=7e91714802703c0ae99d18be7dc347bf","US20080075181")</f>
        <v>US20080075181</v>
      </c>
      <c r="B922" s="2" t="s">
        <v>4290</v>
      </c>
      <c r="C922" s="2" t="s">
        <v>4291</v>
      </c>
      <c r="D922" s="2" t="s">
        <v>346</v>
      </c>
      <c r="E922" s="2" t="s">
        <v>346</v>
      </c>
      <c r="F922" s="2" t="s">
        <v>4292</v>
      </c>
      <c r="G922" s="2" t="s">
        <v>4293</v>
      </c>
      <c r="H922" s="2" t="s">
        <v>4294</v>
      </c>
      <c r="I922" s="2" t="s">
        <v>4295</v>
      </c>
      <c r="J922" s="2" t="s">
        <v>2329</v>
      </c>
      <c r="K922" s="2" t="s">
        <v>58</v>
      </c>
      <c r="L922" s="2" t="s">
        <v>94</v>
      </c>
      <c r="M922" s="2" t="s">
        <v>58</v>
      </c>
      <c r="N922" s="2" t="s">
        <v>335</v>
      </c>
      <c r="O922" s="2">
        <v>12</v>
      </c>
      <c r="P922" s="2">
        <v>15</v>
      </c>
      <c r="Q922" s="2" t="s">
        <v>352</v>
      </c>
      <c r="R922" s="2" t="s">
        <v>47</v>
      </c>
      <c r="S922" s="2">
        <v>1</v>
      </c>
      <c r="T922" s="2">
        <v>0</v>
      </c>
      <c r="U922" s="2">
        <v>1</v>
      </c>
      <c r="V922" s="2">
        <v>1</v>
      </c>
      <c r="W922" s="2">
        <v>4</v>
      </c>
      <c r="X922" s="2" t="s">
        <v>120</v>
      </c>
      <c r="Y922" s="2">
        <v>1</v>
      </c>
      <c r="Z922" s="2">
        <v>3</v>
      </c>
      <c r="AA922" s="2">
        <v>2</v>
      </c>
      <c r="AB922" s="2">
        <v>1</v>
      </c>
      <c r="AC922" s="2">
        <v>6</v>
      </c>
      <c r="AD922" s="2">
        <v>3</v>
      </c>
      <c r="AE922" s="2" t="s">
        <v>0</v>
      </c>
      <c r="AF922" s="2">
        <v>3</v>
      </c>
      <c r="AG922" s="2" t="s">
        <v>49</v>
      </c>
    </row>
    <row r="923" spans="1:33" ht="89.25" x14ac:dyDescent="0.2">
      <c r="A923" s="5" t="str">
        <f>HYPERLINK("http://www.patentics.cn/invokexml.do?sf=ShowPatent&amp;spn=US8130867&amp;sv=ec3af1601a91e02e18fb79a426791d43","US8130867")</f>
        <v>US8130867</v>
      </c>
      <c r="B923" s="3" t="s">
        <v>4296</v>
      </c>
      <c r="C923" s="3" t="s">
        <v>4297</v>
      </c>
      <c r="D923" s="3" t="s">
        <v>52</v>
      </c>
      <c r="E923" s="3" t="s">
        <v>52</v>
      </c>
      <c r="F923" s="3" t="s">
        <v>4298</v>
      </c>
      <c r="G923" s="3" t="s">
        <v>4299</v>
      </c>
      <c r="H923" s="3" t="s">
        <v>4300</v>
      </c>
      <c r="I923" s="3" t="s">
        <v>4301</v>
      </c>
      <c r="J923" s="3" t="s">
        <v>4302</v>
      </c>
      <c r="K923" s="3" t="s">
        <v>58</v>
      </c>
      <c r="L923" s="3" t="s">
        <v>257</v>
      </c>
      <c r="M923" s="3" t="s">
        <v>58</v>
      </c>
      <c r="N923" s="3" t="s">
        <v>335</v>
      </c>
      <c r="O923" s="3">
        <v>0</v>
      </c>
      <c r="P923" s="3">
        <v>5</v>
      </c>
      <c r="Q923" s="3" t="s">
        <v>60</v>
      </c>
      <c r="R923" s="3" t="s">
        <v>61</v>
      </c>
      <c r="S923" s="3">
        <v>16</v>
      </c>
      <c r="T923" s="3">
        <v>3</v>
      </c>
      <c r="U923" s="3">
        <v>13</v>
      </c>
      <c r="V923" s="3">
        <v>10</v>
      </c>
      <c r="W923" s="3">
        <v>12</v>
      </c>
      <c r="X923" s="3" t="s">
        <v>4059</v>
      </c>
      <c r="Y923" s="3">
        <v>2</v>
      </c>
      <c r="Z923" s="3">
        <v>10</v>
      </c>
      <c r="AA923" s="3">
        <v>4</v>
      </c>
      <c r="AB923" s="3">
        <v>1</v>
      </c>
      <c r="AC923" s="3">
        <v>22</v>
      </c>
      <c r="AD923" s="3">
        <v>9</v>
      </c>
      <c r="AE923" s="3">
        <v>14</v>
      </c>
      <c r="AF923" s="3" t="s">
        <v>0</v>
      </c>
      <c r="AG923" s="3" t="s">
        <v>49</v>
      </c>
    </row>
    <row r="924" spans="1:33" ht="114.75" x14ac:dyDescent="0.2">
      <c r="A924" s="5" t="str">
        <f>HYPERLINK("http://www.patentics.cn/invokexml.do?sf=ShowPatent&amp;spn=US8432985&amp;sv=b9eba31bb2aedf7e4608c0f83e99caa7","US8432985")</f>
        <v>US8432985</v>
      </c>
      <c r="B924" s="3" t="s">
        <v>4303</v>
      </c>
      <c r="C924" s="3" t="s">
        <v>4297</v>
      </c>
      <c r="D924" s="3" t="s">
        <v>52</v>
      </c>
      <c r="E924" s="3" t="s">
        <v>52</v>
      </c>
      <c r="F924" s="3" t="s">
        <v>4304</v>
      </c>
      <c r="G924" s="3" t="s">
        <v>4299</v>
      </c>
      <c r="H924" s="3" t="s">
        <v>4300</v>
      </c>
      <c r="I924" s="3" t="s">
        <v>2753</v>
      </c>
      <c r="J924" s="3" t="s">
        <v>4305</v>
      </c>
      <c r="K924" s="3" t="s">
        <v>84</v>
      </c>
      <c r="L924" s="3" t="s">
        <v>4306</v>
      </c>
      <c r="M924" s="3" t="s">
        <v>58</v>
      </c>
      <c r="N924" s="3" t="s">
        <v>335</v>
      </c>
      <c r="O924" s="3">
        <v>0</v>
      </c>
      <c r="P924" s="3">
        <v>11</v>
      </c>
      <c r="Q924" s="3" t="s">
        <v>60</v>
      </c>
      <c r="R924" s="3" t="s">
        <v>61</v>
      </c>
      <c r="S924" s="3">
        <v>25</v>
      </c>
      <c r="T924" s="3">
        <v>4</v>
      </c>
      <c r="U924" s="3">
        <v>21</v>
      </c>
      <c r="V924" s="3">
        <v>14</v>
      </c>
      <c r="W924" s="3">
        <v>1</v>
      </c>
      <c r="X924" s="3" t="s">
        <v>108</v>
      </c>
      <c r="Y924" s="3">
        <v>1</v>
      </c>
      <c r="Z924" s="3">
        <v>0</v>
      </c>
      <c r="AA924" s="3">
        <v>1</v>
      </c>
      <c r="AB924" s="3">
        <v>1</v>
      </c>
      <c r="AC924" s="3">
        <v>22</v>
      </c>
      <c r="AD924" s="3">
        <v>9</v>
      </c>
      <c r="AE924" s="3">
        <v>14</v>
      </c>
      <c r="AF924" s="3" t="s">
        <v>0</v>
      </c>
      <c r="AG924" s="3" t="s">
        <v>49</v>
      </c>
    </row>
    <row r="925" spans="1:33" ht="114.75" x14ac:dyDescent="0.2">
      <c r="A925" s="5" t="str">
        <f>HYPERLINK("http://www.patentics.cn/invokexml.do?sf=ShowPatent&amp;spn=US8718164&amp;sv=22000beeb289f5e338178e11efbcee35","US8718164")</f>
        <v>US8718164</v>
      </c>
      <c r="B925" s="3" t="s">
        <v>4307</v>
      </c>
      <c r="C925" s="3" t="s">
        <v>4297</v>
      </c>
      <c r="D925" s="3" t="s">
        <v>52</v>
      </c>
      <c r="E925" s="3" t="s">
        <v>52</v>
      </c>
      <c r="F925" s="3" t="s">
        <v>4304</v>
      </c>
      <c r="G925" s="3" t="s">
        <v>4299</v>
      </c>
      <c r="H925" s="3" t="s">
        <v>4300</v>
      </c>
      <c r="I925" s="3" t="s">
        <v>4308</v>
      </c>
      <c r="J925" s="3" t="s">
        <v>2691</v>
      </c>
      <c r="K925" s="3" t="s">
        <v>84</v>
      </c>
      <c r="L925" s="3" t="s">
        <v>343</v>
      </c>
      <c r="M925" s="3" t="s">
        <v>58</v>
      </c>
      <c r="N925" s="3" t="s">
        <v>335</v>
      </c>
      <c r="O925" s="3">
        <v>0</v>
      </c>
      <c r="P925" s="3">
        <v>10</v>
      </c>
      <c r="Q925" s="3" t="s">
        <v>60</v>
      </c>
      <c r="R925" s="3" t="s">
        <v>61</v>
      </c>
      <c r="S925" s="3">
        <v>39</v>
      </c>
      <c r="T925" s="3">
        <v>9</v>
      </c>
      <c r="U925" s="3">
        <v>30</v>
      </c>
      <c r="V925" s="3">
        <v>18</v>
      </c>
      <c r="W925" s="3">
        <v>1</v>
      </c>
      <c r="X925" s="3" t="s">
        <v>1061</v>
      </c>
      <c r="Y925" s="3">
        <v>0</v>
      </c>
      <c r="Z925" s="3">
        <v>1</v>
      </c>
      <c r="AA925" s="3">
        <v>1</v>
      </c>
      <c r="AB925" s="3">
        <v>1</v>
      </c>
      <c r="AC925" s="3">
        <v>22</v>
      </c>
      <c r="AD925" s="3">
        <v>9</v>
      </c>
      <c r="AE925" s="3">
        <v>14</v>
      </c>
      <c r="AF925" s="3" t="s">
        <v>0</v>
      </c>
      <c r="AG925" s="3" t="s">
        <v>49</v>
      </c>
    </row>
    <row r="926" spans="1:33" ht="51" x14ac:dyDescent="0.2">
      <c r="A926" s="4" t="str">
        <f>HYPERLINK("http://www.patentics.cn/invokexml.do?sf=ShowPatent&amp;spn=US8451790&amp;sv=8a6eae810fed6bc0dbb5d5b4180f1a5b","US8451790")</f>
        <v>US8451790</v>
      </c>
      <c r="B926" s="2" t="s">
        <v>4309</v>
      </c>
      <c r="C926" s="2" t="s">
        <v>4310</v>
      </c>
      <c r="D926" s="2" t="s">
        <v>346</v>
      </c>
      <c r="E926" s="2" t="s">
        <v>346</v>
      </c>
      <c r="F926" s="2" t="s">
        <v>4311</v>
      </c>
      <c r="G926" s="2" t="s">
        <v>3173</v>
      </c>
      <c r="H926" s="2" t="s">
        <v>4312</v>
      </c>
      <c r="I926" s="2" t="s">
        <v>3175</v>
      </c>
      <c r="J926" s="2" t="s">
        <v>4313</v>
      </c>
      <c r="K926" s="2" t="s">
        <v>82</v>
      </c>
      <c r="L926" s="2" t="s">
        <v>244</v>
      </c>
      <c r="M926" s="2" t="s">
        <v>58</v>
      </c>
      <c r="N926" s="2" t="s">
        <v>4314</v>
      </c>
      <c r="O926" s="2">
        <v>0</v>
      </c>
      <c r="P926" s="2">
        <v>14</v>
      </c>
      <c r="Q926" s="2" t="s">
        <v>60</v>
      </c>
      <c r="R926" s="2" t="s">
        <v>47</v>
      </c>
      <c r="S926" s="2">
        <v>16</v>
      </c>
      <c r="T926" s="2">
        <v>2</v>
      </c>
      <c r="U926" s="2">
        <v>14</v>
      </c>
      <c r="V926" s="2">
        <v>8</v>
      </c>
      <c r="W926" s="2">
        <v>13</v>
      </c>
      <c r="X926" s="2" t="s">
        <v>1249</v>
      </c>
      <c r="Y926" s="2">
        <v>0</v>
      </c>
      <c r="Z926" s="2">
        <v>13</v>
      </c>
      <c r="AA926" s="2">
        <v>3</v>
      </c>
      <c r="AB926" s="2">
        <v>2</v>
      </c>
      <c r="AC926" s="2">
        <v>13</v>
      </c>
      <c r="AD926" s="2">
        <v>8</v>
      </c>
      <c r="AE926" s="2" t="s">
        <v>0</v>
      </c>
      <c r="AF926" s="2">
        <v>3</v>
      </c>
      <c r="AG926" s="2" t="s">
        <v>49</v>
      </c>
    </row>
    <row r="927" spans="1:33" ht="204" x14ac:dyDescent="0.2">
      <c r="A927" s="5" t="str">
        <f>HYPERLINK("http://www.patentics.cn/invokexml.do?sf=ShowPatent&amp;spn=US9106419&amp;sv=d67199634e7778648cedcea54d62f631","US9106419")</f>
        <v>US9106419</v>
      </c>
      <c r="B927" s="3" t="s">
        <v>3178</v>
      </c>
      <c r="C927" s="3" t="s">
        <v>3179</v>
      </c>
      <c r="D927" s="3" t="s">
        <v>52</v>
      </c>
      <c r="E927" s="3" t="s">
        <v>52</v>
      </c>
      <c r="F927" s="3" t="s">
        <v>3180</v>
      </c>
      <c r="G927" s="3" t="s">
        <v>1091</v>
      </c>
      <c r="H927" s="3" t="s">
        <v>3181</v>
      </c>
      <c r="I927" s="3" t="s">
        <v>3182</v>
      </c>
      <c r="J927" s="3" t="s">
        <v>927</v>
      </c>
      <c r="K927" s="3" t="s">
        <v>82</v>
      </c>
      <c r="L927" s="3" t="s">
        <v>244</v>
      </c>
      <c r="M927" s="3" t="s">
        <v>0</v>
      </c>
      <c r="N927" s="3" t="s">
        <v>0</v>
      </c>
      <c r="O927" s="3">
        <v>0</v>
      </c>
      <c r="P927" s="3">
        <v>11</v>
      </c>
      <c r="Q927" s="3" t="s">
        <v>60</v>
      </c>
      <c r="R927" s="3" t="s">
        <v>61</v>
      </c>
      <c r="S927" s="3">
        <v>22</v>
      </c>
      <c r="T927" s="3">
        <v>2</v>
      </c>
      <c r="U927" s="3">
        <v>20</v>
      </c>
      <c r="V927" s="3">
        <v>11</v>
      </c>
      <c r="W927" s="3">
        <v>8</v>
      </c>
      <c r="X927" s="3" t="s">
        <v>147</v>
      </c>
      <c r="Y927" s="3">
        <v>0</v>
      </c>
      <c r="Z927" s="3">
        <v>8</v>
      </c>
      <c r="AA927" s="3">
        <v>0</v>
      </c>
      <c r="AB927" s="3">
        <v>1</v>
      </c>
      <c r="AC927" s="3">
        <v>22</v>
      </c>
      <c r="AD927" s="3">
        <v>7</v>
      </c>
      <c r="AE927" s="3">
        <v>14</v>
      </c>
      <c r="AF927" s="3" t="s">
        <v>0</v>
      </c>
      <c r="AG927" s="3" t="s">
        <v>49</v>
      </c>
    </row>
    <row r="928" spans="1:33" ht="204" x14ac:dyDescent="0.2">
      <c r="A928" s="5" t="str">
        <f>HYPERLINK("http://www.patentics.cn/invokexml.do?sf=ShowPatent&amp;spn=US9112692&amp;sv=1cb55b10edfcbf6886f38a751840d006","US9112692")</f>
        <v>US9112692</v>
      </c>
      <c r="B928" s="3" t="s">
        <v>3183</v>
      </c>
      <c r="C928" s="3" t="s">
        <v>3184</v>
      </c>
      <c r="D928" s="3" t="s">
        <v>52</v>
      </c>
      <c r="E928" s="3" t="s">
        <v>52</v>
      </c>
      <c r="F928" s="3" t="s">
        <v>3180</v>
      </c>
      <c r="G928" s="3" t="s">
        <v>1091</v>
      </c>
      <c r="H928" s="3" t="s">
        <v>3181</v>
      </c>
      <c r="I928" s="3" t="s">
        <v>3182</v>
      </c>
      <c r="J928" s="3" t="s">
        <v>2440</v>
      </c>
      <c r="K928" s="3" t="s">
        <v>82</v>
      </c>
      <c r="L928" s="3" t="s">
        <v>862</v>
      </c>
      <c r="M928" s="3" t="s">
        <v>0</v>
      </c>
      <c r="N928" s="3" t="s">
        <v>0</v>
      </c>
      <c r="O928" s="3">
        <v>0</v>
      </c>
      <c r="P928" s="3">
        <v>20</v>
      </c>
      <c r="Q928" s="3" t="s">
        <v>60</v>
      </c>
      <c r="R928" s="3" t="s">
        <v>61</v>
      </c>
      <c r="S928" s="3">
        <v>22</v>
      </c>
      <c r="T928" s="3">
        <v>2</v>
      </c>
      <c r="U928" s="3">
        <v>20</v>
      </c>
      <c r="V928" s="3">
        <v>11</v>
      </c>
      <c r="W928" s="3">
        <v>10</v>
      </c>
      <c r="X928" s="3" t="s">
        <v>3185</v>
      </c>
      <c r="Y928" s="3">
        <v>1</v>
      </c>
      <c r="Z928" s="3">
        <v>9</v>
      </c>
      <c r="AA928" s="3">
        <v>2</v>
      </c>
      <c r="AB928" s="3">
        <v>2</v>
      </c>
      <c r="AC928" s="3">
        <v>22</v>
      </c>
      <c r="AD928" s="3">
        <v>7</v>
      </c>
      <c r="AE928" s="3">
        <v>14</v>
      </c>
      <c r="AF928" s="3" t="s">
        <v>0</v>
      </c>
      <c r="AG928" s="3" t="s">
        <v>49</v>
      </c>
    </row>
    <row r="929" spans="1:33" ht="191.25" x14ac:dyDescent="0.2">
      <c r="A929" s="5" t="str">
        <f>HYPERLINK("http://www.patentics.cn/invokexml.do?sf=ShowPatent&amp;spn=US9591662&amp;sv=43a6bafb84c2fdce1c2915a5c96da4ba","US9591662")</f>
        <v>US9591662</v>
      </c>
      <c r="B929" s="3" t="s">
        <v>3189</v>
      </c>
      <c r="C929" s="3" t="s">
        <v>3184</v>
      </c>
      <c r="D929" s="3" t="s">
        <v>52</v>
      </c>
      <c r="E929" s="3" t="s">
        <v>52</v>
      </c>
      <c r="F929" s="3" t="s">
        <v>3190</v>
      </c>
      <c r="G929" s="3" t="s">
        <v>1091</v>
      </c>
      <c r="H929" s="3" t="s">
        <v>3181</v>
      </c>
      <c r="I929" s="3" t="s">
        <v>3191</v>
      </c>
      <c r="J929" s="3" t="s">
        <v>2406</v>
      </c>
      <c r="K929" s="3" t="s">
        <v>82</v>
      </c>
      <c r="L929" s="3" t="s">
        <v>244</v>
      </c>
      <c r="M929" s="3" t="s">
        <v>82</v>
      </c>
      <c r="N929" s="3" t="s">
        <v>764</v>
      </c>
      <c r="O929" s="3">
        <v>0</v>
      </c>
      <c r="P929" s="3">
        <v>14</v>
      </c>
      <c r="Q929" s="3" t="s">
        <v>60</v>
      </c>
      <c r="R929" s="3" t="s">
        <v>61</v>
      </c>
      <c r="S929" s="3">
        <v>27</v>
      </c>
      <c r="T929" s="3">
        <v>4</v>
      </c>
      <c r="U929" s="3">
        <v>23</v>
      </c>
      <c r="V929" s="3">
        <v>11</v>
      </c>
      <c r="W929" s="3">
        <v>0</v>
      </c>
      <c r="X929" s="3" t="s">
        <v>147</v>
      </c>
      <c r="Y929" s="3">
        <v>0</v>
      </c>
      <c r="Z929" s="3">
        <v>0</v>
      </c>
      <c r="AA929" s="3">
        <v>0</v>
      </c>
      <c r="AB929" s="3">
        <v>0</v>
      </c>
      <c r="AC929" s="3">
        <v>22</v>
      </c>
      <c r="AD929" s="3">
        <v>7</v>
      </c>
      <c r="AE929" s="3">
        <v>14</v>
      </c>
      <c r="AF929" s="3" t="s">
        <v>0</v>
      </c>
      <c r="AG929" s="3" t="s">
        <v>49</v>
      </c>
    </row>
    <row r="930" spans="1:33" ht="51" x14ac:dyDescent="0.2">
      <c r="A930" s="4" t="str">
        <f>HYPERLINK("http://www.patentics.cn/invokexml.do?sf=ShowPatent&amp;spn=US8290518&amp;sv=5e2c52170d7011408986343b5b2a735f","US8290518")</f>
        <v>US8290518</v>
      </c>
      <c r="B930" s="2" t="s">
        <v>1438</v>
      </c>
      <c r="C930" s="2" t="s">
        <v>4315</v>
      </c>
      <c r="D930" s="2" t="s">
        <v>346</v>
      </c>
      <c r="E930" s="2" t="s">
        <v>346</v>
      </c>
      <c r="F930" s="2" t="s">
        <v>1440</v>
      </c>
      <c r="G930" s="2" t="s">
        <v>1006</v>
      </c>
      <c r="H930" s="2" t="s">
        <v>1441</v>
      </c>
      <c r="I930" s="2" t="s">
        <v>1442</v>
      </c>
      <c r="J930" s="2" t="s">
        <v>4316</v>
      </c>
      <c r="K930" s="2" t="s">
        <v>82</v>
      </c>
      <c r="L930" s="2" t="s">
        <v>827</v>
      </c>
      <c r="M930" s="2" t="s">
        <v>82</v>
      </c>
      <c r="N930" s="2" t="s">
        <v>1445</v>
      </c>
      <c r="O930" s="2">
        <v>0</v>
      </c>
      <c r="P930" s="2">
        <v>18</v>
      </c>
      <c r="Q930" s="2" t="s">
        <v>60</v>
      </c>
      <c r="R930" s="2" t="s">
        <v>61</v>
      </c>
      <c r="S930" s="2">
        <v>10</v>
      </c>
      <c r="T930" s="2">
        <v>0</v>
      </c>
      <c r="U930" s="2">
        <v>10</v>
      </c>
      <c r="V930" s="2">
        <v>8</v>
      </c>
      <c r="W930" s="2">
        <v>6</v>
      </c>
      <c r="X930" s="2" t="s">
        <v>4317</v>
      </c>
      <c r="Y930" s="2">
        <v>2</v>
      </c>
      <c r="Z930" s="2">
        <v>4</v>
      </c>
      <c r="AA930" s="2">
        <v>3</v>
      </c>
      <c r="AB930" s="2">
        <v>1</v>
      </c>
      <c r="AC930" s="2">
        <v>5</v>
      </c>
      <c r="AD930" s="2">
        <v>2</v>
      </c>
      <c r="AE930" s="2" t="s">
        <v>0</v>
      </c>
      <c r="AF930" s="2">
        <v>3</v>
      </c>
      <c r="AG930" s="2" t="s">
        <v>49</v>
      </c>
    </row>
    <row r="931" spans="1:33" ht="25.5" x14ac:dyDescent="0.2">
      <c r="A931" s="5" t="str">
        <f>HYPERLINK("http://www.patentics.cn/invokexml.do?sf=ShowPatent&amp;spn=US8626179&amp;sv=6473b9297ac5a65ade2c253bb79f283f","US8626179")</f>
        <v>US8626179</v>
      </c>
      <c r="B931" s="3" t="s">
        <v>4318</v>
      </c>
      <c r="C931" s="3" t="s">
        <v>4319</v>
      </c>
      <c r="D931" s="3" t="s">
        <v>52</v>
      </c>
      <c r="E931" s="3" t="s">
        <v>52</v>
      </c>
      <c r="F931" s="3" t="s">
        <v>4320</v>
      </c>
      <c r="G931" s="3" t="s">
        <v>4320</v>
      </c>
      <c r="H931" s="3" t="s">
        <v>4321</v>
      </c>
      <c r="I931" s="3" t="s">
        <v>4322</v>
      </c>
      <c r="J931" s="3" t="s">
        <v>1536</v>
      </c>
      <c r="K931" s="3" t="s">
        <v>82</v>
      </c>
      <c r="L931" s="3" t="s">
        <v>226</v>
      </c>
      <c r="M931" s="3" t="s">
        <v>82</v>
      </c>
      <c r="N931" s="3" t="s">
        <v>4323</v>
      </c>
      <c r="O931" s="3">
        <v>0</v>
      </c>
      <c r="P931" s="3">
        <v>14</v>
      </c>
      <c r="Q931" s="3" t="s">
        <v>60</v>
      </c>
      <c r="R931" s="3" t="s">
        <v>61</v>
      </c>
      <c r="S931" s="3">
        <v>26</v>
      </c>
      <c r="T931" s="3">
        <v>3</v>
      </c>
      <c r="U931" s="3">
        <v>23</v>
      </c>
      <c r="V931" s="3">
        <v>12</v>
      </c>
      <c r="W931" s="3">
        <v>3</v>
      </c>
      <c r="X931" s="3" t="s">
        <v>4324</v>
      </c>
      <c r="Y931" s="3">
        <v>3</v>
      </c>
      <c r="Z931" s="3">
        <v>0</v>
      </c>
      <c r="AA931" s="3">
        <v>1</v>
      </c>
      <c r="AB931" s="3">
        <v>1</v>
      </c>
      <c r="AC931" s="3">
        <v>4</v>
      </c>
      <c r="AD931" s="3">
        <v>2</v>
      </c>
      <c r="AE931" s="3">
        <v>14</v>
      </c>
      <c r="AF931" s="3" t="s">
        <v>0</v>
      </c>
      <c r="AG931" s="3" t="s">
        <v>49</v>
      </c>
    </row>
    <row r="932" spans="1:33" ht="102" x14ac:dyDescent="0.2">
      <c r="A932" s="5" t="str">
        <f>HYPERLINK("http://www.patentics.cn/invokexml.do?sf=ShowPatent&amp;spn=US9037168&amp;sv=7b4d5796c588964e1089c92606aa23fd","US9037168")</f>
        <v>US9037168</v>
      </c>
      <c r="B932" s="3" t="s">
        <v>4325</v>
      </c>
      <c r="C932" s="3" t="s">
        <v>4319</v>
      </c>
      <c r="D932" s="3" t="s">
        <v>52</v>
      </c>
      <c r="E932" s="3" t="s">
        <v>52</v>
      </c>
      <c r="F932" s="3" t="s">
        <v>4326</v>
      </c>
      <c r="G932" s="3" t="s">
        <v>4327</v>
      </c>
      <c r="H932" s="3" t="s">
        <v>4321</v>
      </c>
      <c r="I932" s="3" t="s">
        <v>4328</v>
      </c>
      <c r="J932" s="3" t="s">
        <v>207</v>
      </c>
      <c r="K932" s="3" t="s">
        <v>82</v>
      </c>
      <c r="L932" s="3" t="s">
        <v>83</v>
      </c>
      <c r="M932" s="3" t="s">
        <v>0</v>
      </c>
      <c r="N932" s="3" t="s">
        <v>0</v>
      </c>
      <c r="O932" s="3">
        <v>0</v>
      </c>
      <c r="P932" s="3">
        <v>10</v>
      </c>
      <c r="Q932" s="3" t="s">
        <v>60</v>
      </c>
      <c r="R932" s="3" t="s">
        <v>61</v>
      </c>
      <c r="S932" s="3">
        <v>31</v>
      </c>
      <c r="T932" s="3">
        <v>5</v>
      </c>
      <c r="U932" s="3">
        <v>26</v>
      </c>
      <c r="V932" s="3">
        <v>14</v>
      </c>
      <c r="W932" s="3">
        <v>0</v>
      </c>
      <c r="X932" s="3" t="s">
        <v>147</v>
      </c>
      <c r="Y932" s="3">
        <v>0</v>
      </c>
      <c r="Z932" s="3">
        <v>0</v>
      </c>
      <c r="AA932" s="3">
        <v>0</v>
      </c>
      <c r="AB932" s="3">
        <v>0</v>
      </c>
      <c r="AC932" s="3">
        <v>4</v>
      </c>
      <c r="AD932" s="3">
        <v>2</v>
      </c>
      <c r="AE932" s="3">
        <v>14</v>
      </c>
      <c r="AF932" s="3" t="s">
        <v>0</v>
      </c>
      <c r="AG932" s="3" t="s">
        <v>49</v>
      </c>
    </row>
    <row r="933" spans="1:33" ht="127.5" x14ac:dyDescent="0.2">
      <c r="A933" s="5" t="str">
        <f>HYPERLINK("http://www.patentics.cn/invokexml.do?sf=ShowPatent&amp;spn=US9119172&amp;sv=c6f2a3bea9ff15a71ca38fbe4a425e07","US9119172")</f>
        <v>US9119172</v>
      </c>
      <c r="B933" s="3" t="s">
        <v>4329</v>
      </c>
      <c r="C933" s="3" t="s">
        <v>4330</v>
      </c>
      <c r="D933" s="3" t="s">
        <v>52</v>
      </c>
      <c r="E933" s="3" t="s">
        <v>52</v>
      </c>
      <c r="F933" s="3" t="s">
        <v>4331</v>
      </c>
      <c r="G933" s="3" t="s">
        <v>1478</v>
      </c>
      <c r="H933" s="3" t="s">
        <v>2280</v>
      </c>
      <c r="I933" s="3" t="s">
        <v>2280</v>
      </c>
      <c r="J933" s="3" t="s">
        <v>1085</v>
      </c>
      <c r="K933" s="3" t="s">
        <v>82</v>
      </c>
      <c r="L933" s="3" t="s">
        <v>226</v>
      </c>
      <c r="M933" s="3" t="s">
        <v>0</v>
      </c>
      <c r="N933" s="3" t="s">
        <v>0</v>
      </c>
      <c r="O933" s="3">
        <v>0</v>
      </c>
      <c r="P933" s="3">
        <v>24</v>
      </c>
      <c r="Q933" s="3" t="s">
        <v>60</v>
      </c>
      <c r="R933" s="3" t="s">
        <v>61</v>
      </c>
      <c r="S933" s="3">
        <v>15</v>
      </c>
      <c r="T933" s="3">
        <v>4</v>
      </c>
      <c r="U933" s="3">
        <v>11</v>
      </c>
      <c r="V933" s="3">
        <v>8</v>
      </c>
      <c r="W933" s="3">
        <v>1</v>
      </c>
      <c r="X933" s="3" t="s">
        <v>74</v>
      </c>
      <c r="Y933" s="3">
        <v>1</v>
      </c>
      <c r="Z933" s="3">
        <v>0</v>
      </c>
      <c r="AA933" s="3">
        <v>1</v>
      </c>
      <c r="AB933" s="3">
        <v>1</v>
      </c>
      <c r="AC933" s="3">
        <v>2</v>
      </c>
      <c r="AD933" s="3">
        <v>2</v>
      </c>
      <c r="AE933" s="3">
        <v>14</v>
      </c>
      <c r="AF933" s="3" t="s">
        <v>0</v>
      </c>
      <c r="AG933" s="3" t="s">
        <v>49</v>
      </c>
    </row>
    <row r="934" spans="1:33" ht="38.25" x14ac:dyDescent="0.2">
      <c r="A934" s="4" t="str">
        <f>HYPERLINK("http://www.patentics.cn/invokexml.do?sf=ShowPatent&amp;spn=US8208420&amp;sv=68be6290fd67dec4ce7cbd8ee849987f","US8208420")</f>
        <v>US8208420</v>
      </c>
      <c r="B934" s="2" t="s">
        <v>4332</v>
      </c>
      <c r="C934" s="2" t="s">
        <v>4161</v>
      </c>
      <c r="D934" s="2" t="s">
        <v>346</v>
      </c>
      <c r="E934" s="2" t="s">
        <v>346</v>
      </c>
      <c r="F934" s="2" t="s">
        <v>4333</v>
      </c>
      <c r="G934" s="2" t="s">
        <v>4334</v>
      </c>
      <c r="H934" s="2" t="s">
        <v>4164</v>
      </c>
      <c r="I934" s="2" t="s">
        <v>101</v>
      </c>
      <c r="J934" s="2" t="s">
        <v>426</v>
      </c>
      <c r="K934" s="2" t="s">
        <v>70</v>
      </c>
      <c r="L934" s="2" t="s">
        <v>1057</v>
      </c>
      <c r="M934" s="2" t="s">
        <v>58</v>
      </c>
      <c r="N934" s="2" t="s">
        <v>4335</v>
      </c>
      <c r="O934" s="2">
        <v>0</v>
      </c>
      <c r="P934" s="2">
        <v>22</v>
      </c>
      <c r="Q934" s="2" t="s">
        <v>60</v>
      </c>
      <c r="R934" s="2" t="s">
        <v>47</v>
      </c>
      <c r="S934" s="2">
        <v>6</v>
      </c>
      <c r="T934" s="2">
        <v>1</v>
      </c>
      <c r="U934" s="2">
        <v>5</v>
      </c>
      <c r="V934" s="2">
        <v>4</v>
      </c>
      <c r="W934" s="2">
        <v>4</v>
      </c>
      <c r="X934" s="2" t="s">
        <v>1351</v>
      </c>
      <c r="Y934" s="2">
        <v>1</v>
      </c>
      <c r="Z934" s="2">
        <v>3</v>
      </c>
      <c r="AA934" s="2">
        <v>2</v>
      </c>
      <c r="AB934" s="2">
        <v>1</v>
      </c>
      <c r="AC934" s="2">
        <v>8</v>
      </c>
      <c r="AD934" s="2">
        <v>4</v>
      </c>
      <c r="AE934" s="2" t="s">
        <v>0</v>
      </c>
      <c r="AF934" s="2">
        <v>3</v>
      </c>
      <c r="AG934" s="2" t="s">
        <v>49</v>
      </c>
    </row>
    <row r="935" spans="1:33" ht="25.5" x14ac:dyDescent="0.2">
      <c r="A935" s="5" t="str">
        <f>HYPERLINK("http://www.patentics.cn/invokexml.do?sf=ShowPatent&amp;spn=US9036538&amp;sv=584cfa081eca28461e2cb239578d29fc","US9036538")</f>
        <v>US9036538</v>
      </c>
      <c r="B935" s="3" t="s">
        <v>205</v>
      </c>
      <c r="C935" s="3" t="s">
        <v>200</v>
      </c>
      <c r="D935" s="3" t="s">
        <v>52</v>
      </c>
      <c r="E935" s="3" t="s">
        <v>52</v>
      </c>
      <c r="F935" s="3" t="s">
        <v>193</v>
      </c>
      <c r="G935" s="3" t="s">
        <v>193</v>
      </c>
      <c r="H935" s="3" t="s">
        <v>201</v>
      </c>
      <c r="I935" s="3" t="s">
        <v>206</v>
      </c>
      <c r="J935" s="3" t="s">
        <v>207</v>
      </c>
      <c r="K935" s="3" t="s">
        <v>82</v>
      </c>
      <c r="L935" s="3" t="s">
        <v>83</v>
      </c>
      <c r="M935" s="3" t="s">
        <v>0</v>
      </c>
      <c r="N935" s="3" t="s">
        <v>0</v>
      </c>
      <c r="O935" s="3">
        <v>0</v>
      </c>
      <c r="P935" s="3">
        <v>14</v>
      </c>
      <c r="Q935" s="3" t="s">
        <v>60</v>
      </c>
      <c r="R935" s="3" t="s">
        <v>61</v>
      </c>
      <c r="S935" s="3">
        <v>1143</v>
      </c>
      <c r="T935" s="3">
        <v>245</v>
      </c>
      <c r="U935" s="3">
        <v>898</v>
      </c>
      <c r="V935" s="3">
        <v>197</v>
      </c>
      <c r="W935" s="3">
        <v>0</v>
      </c>
      <c r="X935" s="3" t="s">
        <v>147</v>
      </c>
      <c r="Y935" s="3">
        <v>0</v>
      </c>
      <c r="Z935" s="3">
        <v>0</v>
      </c>
      <c r="AA935" s="3">
        <v>0</v>
      </c>
      <c r="AB935" s="3">
        <v>0</v>
      </c>
      <c r="AC935" s="3">
        <v>51</v>
      </c>
      <c r="AD935" s="3">
        <v>14</v>
      </c>
      <c r="AE935" s="3">
        <v>14</v>
      </c>
      <c r="AF935" s="3" t="s">
        <v>0</v>
      </c>
      <c r="AG935" s="3" t="s">
        <v>49</v>
      </c>
    </row>
    <row r="936" spans="1:33" ht="114.75" x14ac:dyDescent="0.2">
      <c r="A936" s="5" t="str">
        <f>HYPERLINK("http://www.patentics.cn/invokexml.do?sf=ShowPatent&amp;spn=US9461859&amp;sv=027d2fad25d71f90e65c341d65dc5cdd","US9461859")</f>
        <v>US9461859</v>
      </c>
      <c r="B936" s="3" t="s">
        <v>328</v>
      </c>
      <c r="C936" s="3" t="s">
        <v>237</v>
      </c>
      <c r="D936" s="3" t="s">
        <v>52</v>
      </c>
      <c r="E936" s="3" t="s">
        <v>52</v>
      </c>
      <c r="F936" s="3" t="s">
        <v>238</v>
      </c>
      <c r="G936" s="3" t="s">
        <v>112</v>
      </c>
      <c r="H936" s="3" t="s">
        <v>55</v>
      </c>
      <c r="I936" s="3" t="s">
        <v>55</v>
      </c>
      <c r="J936" s="3" t="s">
        <v>329</v>
      </c>
      <c r="K936" s="3" t="s">
        <v>84</v>
      </c>
      <c r="L936" s="3" t="s">
        <v>312</v>
      </c>
      <c r="M936" s="3" t="s">
        <v>58</v>
      </c>
      <c r="N936" s="3" t="s">
        <v>330</v>
      </c>
      <c r="O936" s="3">
        <v>0</v>
      </c>
      <c r="P936" s="3">
        <v>13</v>
      </c>
      <c r="Q936" s="3" t="s">
        <v>60</v>
      </c>
      <c r="R936" s="3" t="s">
        <v>61</v>
      </c>
      <c r="S936" s="3">
        <v>1158</v>
      </c>
      <c r="T936" s="3">
        <v>257</v>
      </c>
      <c r="U936" s="3">
        <v>901</v>
      </c>
      <c r="V936" s="3">
        <v>197</v>
      </c>
      <c r="W936" s="3">
        <v>0</v>
      </c>
      <c r="X936" s="3" t="s">
        <v>147</v>
      </c>
      <c r="Y936" s="3">
        <v>0</v>
      </c>
      <c r="Z936" s="3">
        <v>0</v>
      </c>
      <c r="AA936" s="3">
        <v>0</v>
      </c>
      <c r="AB936" s="3">
        <v>0</v>
      </c>
      <c r="AC936" s="3">
        <v>31</v>
      </c>
      <c r="AD936" s="3">
        <v>18</v>
      </c>
      <c r="AE936" s="3">
        <v>14</v>
      </c>
      <c r="AF936" s="3" t="s">
        <v>0</v>
      </c>
      <c r="AG936" s="3" t="s">
        <v>49</v>
      </c>
    </row>
    <row r="937" spans="1:33" ht="76.5" x14ac:dyDescent="0.2">
      <c r="A937" s="5" t="str">
        <f>HYPERLINK("http://www.patentics.cn/invokexml.do?sf=ShowPatent&amp;spn=US9544782&amp;sv=3afe3c16f6e54a823fac61f27b730619","US9544782")</f>
        <v>US9544782</v>
      </c>
      <c r="B937" s="3" t="s">
        <v>3235</v>
      </c>
      <c r="C937" s="3" t="s">
        <v>3236</v>
      </c>
      <c r="D937" s="3" t="s">
        <v>52</v>
      </c>
      <c r="E937" s="3" t="s">
        <v>52</v>
      </c>
      <c r="F937" s="3" t="s">
        <v>3237</v>
      </c>
      <c r="G937" s="3" t="s">
        <v>3238</v>
      </c>
      <c r="H937" s="3" t="s">
        <v>3239</v>
      </c>
      <c r="I937" s="3" t="s">
        <v>1970</v>
      </c>
      <c r="J937" s="3" t="s">
        <v>861</v>
      </c>
      <c r="K937" s="3" t="s">
        <v>82</v>
      </c>
      <c r="L937" s="3" t="s">
        <v>3240</v>
      </c>
      <c r="M937" s="3" t="s">
        <v>82</v>
      </c>
      <c r="N937" s="3" t="s">
        <v>3241</v>
      </c>
      <c r="O937" s="3">
        <v>0</v>
      </c>
      <c r="P937" s="3">
        <v>9</v>
      </c>
      <c r="Q937" s="3" t="s">
        <v>60</v>
      </c>
      <c r="R937" s="3" t="s">
        <v>61</v>
      </c>
      <c r="S937" s="3">
        <v>69</v>
      </c>
      <c r="T937" s="3">
        <v>6</v>
      </c>
      <c r="U937" s="3">
        <v>63</v>
      </c>
      <c r="V937" s="3">
        <v>27</v>
      </c>
      <c r="W937" s="3">
        <v>0</v>
      </c>
      <c r="X937" s="3" t="s">
        <v>147</v>
      </c>
      <c r="Y937" s="3">
        <v>0</v>
      </c>
      <c r="Z937" s="3">
        <v>0</v>
      </c>
      <c r="AA937" s="3">
        <v>0</v>
      </c>
      <c r="AB937" s="3">
        <v>0</v>
      </c>
      <c r="AC937" s="3">
        <v>6</v>
      </c>
      <c r="AD937" s="3">
        <v>6</v>
      </c>
      <c r="AE937" s="3">
        <v>14</v>
      </c>
      <c r="AF937" s="3" t="s">
        <v>0</v>
      </c>
      <c r="AG937" s="3" t="s">
        <v>49</v>
      </c>
    </row>
    <row r="938" spans="1:33" ht="38.25" x14ac:dyDescent="0.2">
      <c r="A938" s="4" t="str">
        <f>HYPERLINK("http://www.patentics.cn/invokexml.do?sf=ShowPatent&amp;spn=US8170567&amp;sv=d7ac42ac2eed58ff8de04ba1dea8cb7f","US8170567")</f>
        <v>US8170567</v>
      </c>
      <c r="B938" s="2" t="s">
        <v>4336</v>
      </c>
      <c r="C938" s="2" t="s">
        <v>4337</v>
      </c>
      <c r="D938" s="2" t="s">
        <v>346</v>
      </c>
      <c r="E938" s="2" t="s">
        <v>346</v>
      </c>
      <c r="F938" s="2" t="s">
        <v>4338</v>
      </c>
      <c r="G938" s="2" t="s">
        <v>1314</v>
      </c>
      <c r="H938" s="2" t="s">
        <v>4339</v>
      </c>
      <c r="I938" s="2" t="s">
        <v>4340</v>
      </c>
      <c r="J938" s="2" t="s">
        <v>407</v>
      </c>
      <c r="K938" s="2" t="s">
        <v>82</v>
      </c>
      <c r="L938" s="2" t="s">
        <v>806</v>
      </c>
      <c r="M938" s="2" t="s">
        <v>82</v>
      </c>
      <c r="N938" s="2" t="s">
        <v>4341</v>
      </c>
      <c r="O938" s="2">
        <v>0</v>
      </c>
      <c r="P938" s="2">
        <v>17</v>
      </c>
      <c r="Q938" s="2" t="s">
        <v>60</v>
      </c>
      <c r="R938" s="2" t="s">
        <v>61</v>
      </c>
      <c r="S938" s="2">
        <v>10</v>
      </c>
      <c r="T938" s="2">
        <v>0</v>
      </c>
      <c r="U938" s="2">
        <v>10</v>
      </c>
      <c r="V938" s="2">
        <v>5</v>
      </c>
      <c r="W938" s="2">
        <v>4</v>
      </c>
      <c r="X938" s="2" t="s">
        <v>1799</v>
      </c>
      <c r="Y938" s="2">
        <v>0</v>
      </c>
      <c r="Z938" s="2">
        <v>4</v>
      </c>
      <c r="AA938" s="2">
        <v>2</v>
      </c>
      <c r="AB938" s="2">
        <v>1</v>
      </c>
      <c r="AC938" s="2">
        <v>9</v>
      </c>
      <c r="AD938" s="2">
        <v>6</v>
      </c>
      <c r="AE938" s="2" t="s">
        <v>0</v>
      </c>
      <c r="AF938" s="2">
        <v>3</v>
      </c>
      <c r="AG938" s="2" t="s">
        <v>49</v>
      </c>
    </row>
    <row r="939" spans="1:33" ht="38.25" x14ac:dyDescent="0.2">
      <c r="A939" s="5" t="str">
        <f>HYPERLINK("http://www.patentics.cn/invokexml.do?sf=ShowPatent&amp;spn=US8451862&amp;sv=848c7b2e803df4817e4b14db2aba6929","US8451862")</f>
        <v>US8451862</v>
      </c>
      <c r="B939" s="3" t="s">
        <v>4342</v>
      </c>
      <c r="C939" s="3" t="s">
        <v>4343</v>
      </c>
      <c r="D939" s="3" t="s">
        <v>52</v>
      </c>
      <c r="E939" s="3" t="s">
        <v>52</v>
      </c>
      <c r="F939" s="3" t="s">
        <v>4344</v>
      </c>
      <c r="G939" s="3" t="s">
        <v>3275</v>
      </c>
      <c r="H939" s="3" t="s">
        <v>2295</v>
      </c>
      <c r="I939" s="3" t="s">
        <v>3174</v>
      </c>
      <c r="J939" s="3" t="s">
        <v>4313</v>
      </c>
      <c r="K939" s="3" t="s">
        <v>70</v>
      </c>
      <c r="L939" s="3" t="s">
        <v>2535</v>
      </c>
      <c r="M939" s="3" t="s">
        <v>82</v>
      </c>
      <c r="N939" s="3" t="s">
        <v>3536</v>
      </c>
      <c r="O939" s="3">
        <v>0</v>
      </c>
      <c r="P939" s="3">
        <v>16</v>
      </c>
      <c r="Q939" s="3" t="s">
        <v>60</v>
      </c>
      <c r="R939" s="3" t="s">
        <v>61</v>
      </c>
      <c r="S939" s="3">
        <v>20</v>
      </c>
      <c r="T939" s="3">
        <v>2</v>
      </c>
      <c r="U939" s="3">
        <v>18</v>
      </c>
      <c r="V939" s="3">
        <v>16</v>
      </c>
      <c r="W939" s="3">
        <v>4</v>
      </c>
      <c r="X939" s="3" t="s">
        <v>4345</v>
      </c>
      <c r="Y939" s="3">
        <v>2</v>
      </c>
      <c r="Z939" s="3">
        <v>2</v>
      </c>
      <c r="AA939" s="3">
        <v>2</v>
      </c>
      <c r="AB939" s="3">
        <v>1</v>
      </c>
      <c r="AC939" s="3">
        <v>14</v>
      </c>
      <c r="AD939" s="3">
        <v>7</v>
      </c>
      <c r="AE939" s="3">
        <v>14</v>
      </c>
      <c r="AF939" s="3" t="s">
        <v>0</v>
      </c>
      <c r="AG939" s="3" t="s">
        <v>49</v>
      </c>
    </row>
    <row r="940" spans="1:33" ht="76.5" x14ac:dyDescent="0.2">
      <c r="A940" s="5" t="str">
        <f>HYPERLINK("http://www.patentics.cn/invokexml.do?sf=ShowPatent&amp;spn=US8619756&amp;sv=351c4bfb84b615670a5a60b2b066578e","US8619756")</f>
        <v>US8619756</v>
      </c>
      <c r="B940" s="3" t="s">
        <v>4346</v>
      </c>
      <c r="C940" s="3" t="s">
        <v>4347</v>
      </c>
      <c r="D940" s="3" t="s">
        <v>52</v>
      </c>
      <c r="E940" s="3" t="s">
        <v>52</v>
      </c>
      <c r="F940" s="3" t="s">
        <v>4348</v>
      </c>
      <c r="G940" s="3" t="s">
        <v>1050</v>
      </c>
      <c r="H940" s="3" t="s">
        <v>2295</v>
      </c>
      <c r="I940" s="3" t="s">
        <v>4349</v>
      </c>
      <c r="J940" s="3" t="s">
        <v>3011</v>
      </c>
      <c r="K940" s="3" t="s">
        <v>58</v>
      </c>
      <c r="L940" s="3" t="s">
        <v>289</v>
      </c>
      <c r="M940" s="3" t="s">
        <v>58</v>
      </c>
      <c r="N940" s="3" t="s">
        <v>4350</v>
      </c>
      <c r="O940" s="3">
        <v>0</v>
      </c>
      <c r="P940" s="3">
        <v>14</v>
      </c>
      <c r="Q940" s="3" t="s">
        <v>60</v>
      </c>
      <c r="R940" s="3" t="s">
        <v>61</v>
      </c>
      <c r="S940" s="3">
        <v>20</v>
      </c>
      <c r="T940" s="3">
        <v>2</v>
      </c>
      <c r="U940" s="3">
        <v>18</v>
      </c>
      <c r="V940" s="3">
        <v>16</v>
      </c>
      <c r="W940" s="3">
        <v>0</v>
      </c>
      <c r="X940" s="3" t="s">
        <v>147</v>
      </c>
      <c r="Y940" s="3">
        <v>0</v>
      </c>
      <c r="Z940" s="3">
        <v>0</v>
      </c>
      <c r="AA940" s="3">
        <v>0</v>
      </c>
      <c r="AB940" s="3">
        <v>0</v>
      </c>
      <c r="AC940" s="3">
        <v>14</v>
      </c>
      <c r="AD940" s="3">
        <v>7</v>
      </c>
      <c r="AE940" s="3">
        <v>14</v>
      </c>
      <c r="AF940" s="3" t="s">
        <v>0</v>
      </c>
      <c r="AG940" s="3" t="s">
        <v>49</v>
      </c>
    </row>
    <row r="941" spans="1:33" ht="38.25" x14ac:dyDescent="0.2">
      <c r="A941" s="5" t="str">
        <f>HYPERLINK("http://www.patentics.cn/invokexml.do?sf=ShowPatent&amp;spn=US8929388&amp;sv=0ead1b81ee9feea5f94917582627a2c4","US8929388")</f>
        <v>US8929388</v>
      </c>
      <c r="B941" s="3" t="s">
        <v>4351</v>
      </c>
      <c r="C941" s="3" t="s">
        <v>4343</v>
      </c>
      <c r="D941" s="3" t="s">
        <v>52</v>
      </c>
      <c r="E941" s="3" t="s">
        <v>52</v>
      </c>
      <c r="F941" s="3" t="s">
        <v>4344</v>
      </c>
      <c r="G941" s="3" t="s">
        <v>3275</v>
      </c>
      <c r="H941" s="3" t="s">
        <v>2295</v>
      </c>
      <c r="I941" s="3" t="s">
        <v>4192</v>
      </c>
      <c r="J941" s="3" t="s">
        <v>4261</v>
      </c>
      <c r="K941" s="3" t="s">
        <v>58</v>
      </c>
      <c r="L941" s="3" t="s">
        <v>4352</v>
      </c>
      <c r="M941" s="3" t="s">
        <v>82</v>
      </c>
      <c r="N941" s="3" t="s">
        <v>3536</v>
      </c>
      <c r="O941" s="3">
        <v>0</v>
      </c>
      <c r="P941" s="3">
        <v>10</v>
      </c>
      <c r="Q941" s="3" t="s">
        <v>60</v>
      </c>
      <c r="R941" s="3" t="s">
        <v>61</v>
      </c>
      <c r="S941" s="3">
        <v>27</v>
      </c>
      <c r="T941" s="3">
        <v>3</v>
      </c>
      <c r="U941" s="3">
        <v>24</v>
      </c>
      <c r="V941" s="3">
        <v>20</v>
      </c>
      <c r="W941" s="3">
        <v>0</v>
      </c>
      <c r="X941" s="3" t="s">
        <v>147</v>
      </c>
      <c r="Y941" s="3">
        <v>0</v>
      </c>
      <c r="Z941" s="3">
        <v>0</v>
      </c>
      <c r="AA941" s="3">
        <v>0</v>
      </c>
      <c r="AB941" s="3">
        <v>0</v>
      </c>
      <c r="AC941" s="3">
        <v>14</v>
      </c>
      <c r="AD941" s="3">
        <v>7</v>
      </c>
      <c r="AE941" s="3">
        <v>14</v>
      </c>
      <c r="AF941" s="3" t="s">
        <v>0</v>
      </c>
      <c r="AG941" s="3" t="s">
        <v>49</v>
      </c>
    </row>
    <row r="942" spans="1:33" ht="25.5" x14ac:dyDescent="0.2">
      <c r="A942" s="4" t="str">
        <f>HYPERLINK("http://www.patentics.cn/invokexml.do?sf=ShowPatent&amp;spn=US7848717&amp;sv=e154e91a61614de282f2e2edbd81ebdf","US7848717")</f>
        <v>US7848717</v>
      </c>
      <c r="B942" s="2" t="s">
        <v>4353</v>
      </c>
      <c r="C942" s="2" t="s">
        <v>4354</v>
      </c>
      <c r="D942" s="2" t="s">
        <v>346</v>
      </c>
      <c r="E942" s="2" t="s">
        <v>346</v>
      </c>
      <c r="F942" s="2" t="s">
        <v>4355</v>
      </c>
      <c r="G942" s="2" t="s">
        <v>4355</v>
      </c>
      <c r="H942" s="2" t="s">
        <v>4356</v>
      </c>
      <c r="I942" s="2" t="s">
        <v>4356</v>
      </c>
      <c r="J942" s="2" t="s">
        <v>3953</v>
      </c>
      <c r="K942" s="2" t="s">
        <v>84</v>
      </c>
      <c r="L942" s="2" t="s">
        <v>4357</v>
      </c>
      <c r="M942" s="2" t="s">
        <v>58</v>
      </c>
      <c r="N942" s="2" t="s">
        <v>4358</v>
      </c>
      <c r="O942" s="2">
        <v>0</v>
      </c>
      <c r="P942" s="2">
        <v>18</v>
      </c>
      <c r="Q942" s="2" t="s">
        <v>60</v>
      </c>
      <c r="R942" s="2" t="s">
        <v>47</v>
      </c>
      <c r="S942" s="2">
        <v>18</v>
      </c>
      <c r="T942" s="2">
        <v>1</v>
      </c>
      <c r="U942" s="2">
        <v>17</v>
      </c>
      <c r="V942" s="2">
        <v>15</v>
      </c>
      <c r="W942" s="2">
        <v>10</v>
      </c>
      <c r="X942" s="2" t="s">
        <v>4359</v>
      </c>
      <c r="Y942" s="2">
        <v>0</v>
      </c>
      <c r="Z942" s="2">
        <v>10</v>
      </c>
      <c r="AA942" s="2">
        <v>6</v>
      </c>
      <c r="AB942" s="2">
        <v>2</v>
      </c>
      <c r="AC942" s="2">
        <v>7</v>
      </c>
      <c r="AD942" s="2">
        <v>4</v>
      </c>
      <c r="AE942" s="2" t="s">
        <v>0</v>
      </c>
      <c r="AF942" s="2">
        <v>3</v>
      </c>
      <c r="AG942" s="2" t="s">
        <v>49</v>
      </c>
    </row>
    <row r="943" spans="1:33" ht="76.5" x14ac:dyDescent="0.2">
      <c r="A943" s="5" t="str">
        <f>HYPERLINK("http://www.patentics.cn/invokexml.do?sf=ShowPatent&amp;spn=US8326239&amp;sv=2d98e3c072432ee1fc5fe0746525e143","US8326239")</f>
        <v>US8326239</v>
      </c>
      <c r="B943" s="3" t="s">
        <v>4360</v>
      </c>
      <c r="C943" s="3" t="s">
        <v>4361</v>
      </c>
      <c r="D943" s="3" t="s">
        <v>52</v>
      </c>
      <c r="E943" s="3" t="s">
        <v>52</v>
      </c>
      <c r="F943" s="3" t="s">
        <v>4362</v>
      </c>
      <c r="G943" s="3" t="s">
        <v>4363</v>
      </c>
      <c r="H943" s="3" t="s">
        <v>0</v>
      </c>
      <c r="I943" s="3" t="s">
        <v>2341</v>
      </c>
      <c r="J943" s="3" t="s">
        <v>3717</v>
      </c>
      <c r="K943" s="3" t="s">
        <v>84</v>
      </c>
      <c r="L943" s="3" t="s">
        <v>4357</v>
      </c>
      <c r="M943" s="3" t="s">
        <v>84</v>
      </c>
      <c r="N943" s="3" t="s">
        <v>4364</v>
      </c>
      <c r="O943" s="3">
        <v>0</v>
      </c>
      <c r="P943" s="3">
        <v>20</v>
      </c>
      <c r="Q943" s="3" t="s">
        <v>60</v>
      </c>
      <c r="R943" s="3" t="s">
        <v>61</v>
      </c>
      <c r="S943" s="3">
        <v>24</v>
      </c>
      <c r="T943" s="3">
        <v>1</v>
      </c>
      <c r="U943" s="3">
        <v>23</v>
      </c>
      <c r="V943" s="3">
        <v>17</v>
      </c>
      <c r="W943" s="3">
        <v>9</v>
      </c>
      <c r="X943" s="3" t="s">
        <v>3052</v>
      </c>
      <c r="Y943" s="3">
        <v>2</v>
      </c>
      <c r="Z943" s="3">
        <v>7</v>
      </c>
      <c r="AA943" s="3">
        <v>4</v>
      </c>
      <c r="AB943" s="3">
        <v>1</v>
      </c>
      <c r="AC943" s="3">
        <v>0</v>
      </c>
      <c r="AD943" s="3">
        <v>0</v>
      </c>
      <c r="AE943" s="3">
        <v>14</v>
      </c>
      <c r="AF943" s="3" t="s">
        <v>0</v>
      </c>
      <c r="AG943" s="3" t="s">
        <v>755</v>
      </c>
    </row>
    <row r="944" spans="1:33" ht="76.5" x14ac:dyDescent="0.2">
      <c r="A944" s="5" t="str">
        <f>HYPERLINK("http://www.patentics.cn/invokexml.do?sf=ShowPatent&amp;spn=US8340602&amp;sv=b6558b92cbf5331b5d1f2a427d75d8ee","US8340602")</f>
        <v>US8340602</v>
      </c>
      <c r="B944" s="3" t="s">
        <v>4365</v>
      </c>
      <c r="C944" s="3" t="s">
        <v>4366</v>
      </c>
      <c r="D944" s="3" t="s">
        <v>52</v>
      </c>
      <c r="E944" s="3" t="s">
        <v>52</v>
      </c>
      <c r="F944" s="3" t="s">
        <v>4362</v>
      </c>
      <c r="G944" s="3" t="s">
        <v>4363</v>
      </c>
      <c r="H944" s="3" t="s">
        <v>0</v>
      </c>
      <c r="I944" s="3" t="s">
        <v>2341</v>
      </c>
      <c r="J944" s="3" t="s">
        <v>4367</v>
      </c>
      <c r="K944" s="3" t="s">
        <v>84</v>
      </c>
      <c r="L944" s="3" t="s">
        <v>4357</v>
      </c>
      <c r="M944" s="3" t="s">
        <v>84</v>
      </c>
      <c r="N944" s="3" t="s">
        <v>4364</v>
      </c>
      <c r="O944" s="3">
        <v>0</v>
      </c>
      <c r="P944" s="3">
        <v>23</v>
      </c>
      <c r="Q944" s="3" t="s">
        <v>60</v>
      </c>
      <c r="R944" s="3" t="s">
        <v>61</v>
      </c>
      <c r="S944" s="3">
        <v>32</v>
      </c>
      <c r="T944" s="3">
        <v>1</v>
      </c>
      <c r="U944" s="3">
        <v>31</v>
      </c>
      <c r="V944" s="3">
        <v>17</v>
      </c>
      <c r="W944" s="3">
        <v>7</v>
      </c>
      <c r="X944" s="3" t="s">
        <v>4368</v>
      </c>
      <c r="Y944" s="3">
        <v>1</v>
      </c>
      <c r="Z944" s="3">
        <v>6</v>
      </c>
      <c r="AA944" s="3">
        <v>4</v>
      </c>
      <c r="AB944" s="3">
        <v>2</v>
      </c>
      <c r="AC944" s="3">
        <v>0</v>
      </c>
      <c r="AD944" s="3">
        <v>0</v>
      </c>
      <c r="AE944" s="3">
        <v>14</v>
      </c>
      <c r="AF944" s="3" t="s">
        <v>0</v>
      </c>
      <c r="AG944" s="3" t="s">
        <v>755</v>
      </c>
    </row>
    <row r="945" spans="1:33" ht="102" x14ac:dyDescent="0.2">
      <c r="A945" s="5" t="str">
        <f>HYPERLINK("http://www.patentics.cn/invokexml.do?sf=ShowPatent&amp;spn=US8565343&amp;sv=8ae9c755972a1965f056a8b3e6fc2fca","US8565343")</f>
        <v>US8565343</v>
      </c>
      <c r="B945" s="3" t="s">
        <v>4369</v>
      </c>
      <c r="C945" s="3" t="s">
        <v>4370</v>
      </c>
      <c r="D945" s="3" t="s">
        <v>52</v>
      </c>
      <c r="E945" s="3" t="s">
        <v>52</v>
      </c>
      <c r="F945" s="3" t="s">
        <v>4371</v>
      </c>
      <c r="G945" s="3" t="s">
        <v>4372</v>
      </c>
      <c r="H945" s="3" t="s">
        <v>0</v>
      </c>
      <c r="I945" s="3" t="s">
        <v>2711</v>
      </c>
      <c r="J945" s="3" t="s">
        <v>113</v>
      </c>
      <c r="K945" s="3" t="s">
        <v>58</v>
      </c>
      <c r="L945" s="3" t="s">
        <v>3824</v>
      </c>
      <c r="M945" s="3" t="s">
        <v>4373</v>
      </c>
      <c r="N945" s="3" t="s">
        <v>4374</v>
      </c>
      <c r="O945" s="3">
        <v>0</v>
      </c>
      <c r="P945" s="3">
        <v>15</v>
      </c>
      <c r="Q945" s="3" t="s">
        <v>60</v>
      </c>
      <c r="R945" s="3" t="s">
        <v>61</v>
      </c>
      <c r="S945" s="3">
        <v>31</v>
      </c>
      <c r="T945" s="3">
        <v>1</v>
      </c>
      <c r="U945" s="3">
        <v>30</v>
      </c>
      <c r="V945" s="3">
        <v>20</v>
      </c>
      <c r="W945" s="3">
        <v>4</v>
      </c>
      <c r="X945" s="3" t="s">
        <v>4375</v>
      </c>
      <c r="Y945" s="3">
        <v>1</v>
      </c>
      <c r="Z945" s="3">
        <v>3</v>
      </c>
      <c r="AA945" s="3">
        <v>3</v>
      </c>
      <c r="AB945" s="3">
        <v>1</v>
      </c>
      <c r="AC945" s="3">
        <v>0</v>
      </c>
      <c r="AD945" s="3">
        <v>0</v>
      </c>
      <c r="AE945" s="3">
        <v>14</v>
      </c>
      <c r="AF945" s="3" t="s">
        <v>0</v>
      </c>
      <c r="AG945" s="3" t="s">
        <v>49</v>
      </c>
    </row>
    <row r="946" spans="1:33" ht="140.25" x14ac:dyDescent="0.2">
      <c r="A946" s="4" t="str">
        <f>HYPERLINK("http://www.patentics.cn/invokexml.do?sf=ShowPatent&amp;spn=US7496113&amp;sv=3b595a777a647c2ab91e159c6220a653","US7496113")</f>
        <v>US7496113</v>
      </c>
      <c r="B946" s="2" t="s">
        <v>4376</v>
      </c>
      <c r="C946" s="2" t="s">
        <v>1312</v>
      </c>
      <c r="D946" s="2" t="s">
        <v>346</v>
      </c>
      <c r="E946" s="2" t="s">
        <v>346</v>
      </c>
      <c r="F946" s="2" t="s">
        <v>1313</v>
      </c>
      <c r="G946" s="2" t="s">
        <v>1314</v>
      </c>
      <c r="H946" s="2" t="s">
        <v>1315</v>
      </c>
      <c r="I946" s="2" t="s">
        <v>1316</v>
      </c>
      <c r="J946" s="2" t="s">
        <v>4377</v>
      </c>
      <c r="K946" s="2" t="s">
        <v>70</v>
      </c>
      <c r="L946" s="2" t="s">
        <v>1082</v>
      </c>
      <c r="M946" s="2" t="s">
        <v>58</v>
      </c>
      <c r="N946" s="2" t="s">
        <v>4378</v>
      </c>
      <c r="O946" s="2">
        <v>0</v>
      </c>
      <c r="P946" s="2">
        <v>13</v>
      </c>
      <c r="Q946" s="2" t="s">
        <v>60</v>
      </c>
      <c r="R946" s="2" t="s">
        <v>61</v>
      </c>
      <c r="S946" s="2">
        <v>14</v>
      </c>
      <c r="T946" s="2">
        <v>0</v>
      </c>
      <c r="U946" s="2">
        <v>14</v>
      </c>
      <c r="V946" s="2">
        <v>10</v>
      </c>
      <c r="W946" s="2">
        <v>60</v>
      </c>
      <c r="X946" s="2" t="s">
        <v>4379</v>
      </c>
      <c r="Y946" s="2">
        <v>2</v>
      </c>
      <c r="Z946" s="2">
        <v>58</v>
      </c>
      <c r="AA946" s="2">
        <v>11</v>
      </c>
      <c r="AB946" s="2">
        <v>1</v>
      </c>
      <c r="AC946" s="2">
        <v>16</v>
      </c>
      <c r="AD946" s="2">
        <v>6</v>
      </c>
      <c r="AE946" s="2" t="s">
        <v>0</v>
      </c>
      <c r="AF946" s="2">
        <v>3</v>
      </c>
      <c r="AG946" s="2" t="s">
        <v>49</v>
      </c>
    </row>
    <row r="947" spans="1:33" ht="51" x14ac:dyDescent="0.2">
      <c r="A947" s="5" t="str">
        <f>HYPERLINK("http://www.patentics.cn/invokexml.do?sf=ShowPatent&amp;spn=US8472309&amp;sv=a1aa6c37d3b9f2b06393af412fbd02ce","US8472309")</f>
        <v>US8472309</v>
      </c>
      <c r="B947" s="3" t="s">
        <v>4380</v>
      </c>
      <c r="C947" s="3" t="s">
        <v>4381</v>
      </c>
      <c r="D947" s="3" t="s">
        <v>52</v>
      </c>
      <c r="E947" s="3" t="s">
        <v>52</v>
      </c>
      <c r="F947" s="3" t="s">
        <v>4382</v>
      </c>
      <c r="G947" s="3" t="s">
        <v>90</v>
      </c>
      <c r="H947" s="3" t="s">
        <v>3868</v>
      </c>
      <c r="I947" s="3" t="s">
        <v>4383</v>
      </c>
      <c r="J947" s="3" t="s">
        <v>1116</v>
      </c>
      <c r="K947" s="3" t="s">
        <v>70</v>
      </c>
      <c r="L947" s="3" t="s">
        <v>71</v>
      </c>
      <c r="M947" s="3" t="s">
        <v>84</v>
      </c>
      <c r="N947" s="3" t="s">
        <v>2183</v>
      </c>
      <c r="O947" s="3">
        <v>0</v>
      </c>
      <c r="P947" s="3">
        <v>20</v>
      </c>
      <c r="Q947" s="3" t="s">
        <v>60</v>
      </c>
      <c r="R947" s="3" t="s">
        <v>61</v>
      </c>
      <c r="S947" s="3">
        <v>54</v>
      </c>
      <c r="T947" s="3">
        <v>10</v>
      </c>
      <c r="U947" s="3">
        <v>44</v>
      </c>
      <c r="V947" s="3">
        <v>24</v>
      </c>
      <c r="W947" s="3">
        <v>0</v>
      </c>
      <c r="X947" s="3" t="s">
        <v>147</v>
      </c>
      <c r="Y947" s="3">
        <v>0</v>
      </c>
      <c r="Z947" s="3">
        <v>0</v>
      </c>
      <c r="AA947" s="3">
        <v>0</v>
      </c>
      <c r="AB947" s="3">
        <v>0</v>
      </c>
      <c r="AC947" s="3">
        <v>8</v>
      </c>
      <c r="AD947" s="3">
        <v>7</v>
      </c>
      <c r="AE947" s="3">
        <v>14</v>
      </c>
      <c r="AF947" s="3" t="s">
        <v>0</v>
      </c>
      <c r="AG947" s="3" t="s">
        <v>49</v>
      </c>
    </row>
    <row r="948" spans="1:33" ht="89.25" x14ac:dyDescent="0.2">
      <c r="A948" s="5" t="str">
        <f>HYPERLINK("http://www.patentics.cn/invokexml.do?sf=ShowPatent&amp;spn=US8837380&amp;sv=c7f0648826dd9e7229bbac1d68428d94","US8837380")</f>
        <v>US8837380</v>
      </c>
      <c r="B948" s="3" t="s">
        <v>1352</v>
      </c>
      <c r="C948" s="3" t="s">
        <v>1353</v>
      </c>
      <c r="D948" s="3" t="s">
        <v>52</v>
      </c>
      <c r="E948" s="3" t="s">
        <v>52</v>
      </c>
      <c r="F948" s="3" t="s">
        <v>1354</v>
      </c>
      <c r="G948" s="3" t="s">
        <v>949</v>
      </c>
      <c r="H948" s="3" t="s">
        <v>1355</v>
      </c>
      <c r="I948" s="3" t="s">
        <v>399</v>
      </c>
      <c r="J948" s="3" t="s">
        <v>1045</v>
      </c>
      <c r="K948" s="3" t="s">
        <v>84</v>
      </c>
      <c r="L948" s="3" t="s">
        <v>784</v>
      </c>
      <c r="M948" s="3" t="s">
        <v>70</v>
      </c>
      <c r="N948" s="3" t="s">
        <v>1356</v>
      </c>
      <c r="O948" s="3">
        <v>0</v>
      </c>
      <c r="P948" s="3">
        <v>12</v>
      </c>
      <c r="Q948" s="3" t="s">
        <v>60</v>
      </c>
      <c r="R948" s="3" t="s">
        <v>61</v>
      </c>
      <c r="S948" s="3">
        <v>29</v>
      </c>
      <c r="T948" s="3">
        <v>2</v>
      </c>
      <c r="U948" s="3">
        <v>27</v>
      </c>
      <c r="V948" s="3">
        <v>16</v>
      </c>
      <c r="W948" s="3">
        <v>3</v>
      </c>
      <c r="X948" s="3" t="s">
        <v>580</v>
      </c>
      <c r="Y948" s="3">
        <v>0</v>
      </c>
      <c r="Z948" s="3">
        <v>3</v>
      </c>
      <c r="AA948" s="3">
        <v>3</v>
      </c>
      <c r="AB948" s="3">
        <v>1</v>
      </c>
      <c r="AC948" s="3">
        <v>51</v>
      </c>
      <c r="AD948" s="3">
        <v>17</v>
      </c>
      <c r="AE948" s="3">
        <v>14</v>
      </c>
      <c r="AF948" s="3" t="s">
        <v>0</v>
      </c>
      <c r="AG948" s="3" t="s">
        <v>49</v>
      </c>
    </row>
    <row r="949" spans="1:33" ht="89.25" x14ac:dyDescent="0.2">
      <c r="A949" s="5" t="str">
        <f>HYPERLINK("http://www.patentics.cn/invokexml.do?sf=ShowPatent&amp;spn=US8848599&amp;sv=cecd4053f7b2929abc60695b30c917a0","US8848599")</f>
        <v>US8848599</v>
      </c>
      <c r="B949" s="3" t="s">
        <v>4384</v>
      </c>
      <c r="C949" s="3" t="s">
        <v>4385</v>
      </c>
      <c r="D949" s="3" t="s">
        <v>52</v>
      </c>
      <c r="E949" s="3" t="s">
        <v>52</v>
      </c>
      <c r="F949" s="3" t="s">
        <v>1354</v>
      </c>
      <c r="G949" s="3" t="s">
        <v>949</v>
      </c>
      <c r="H949" s="3" t="s">
        <v>1355</v>
      </c>
      <c r="I949" s="3" t="s">
        <v>399</v>
      </c>
      <c r="J949" s="3" t="s">
        <v>1481</v>
      </c>
      <c r="K949" s="3" t="s">
        <v>84</v>
      </c>
      <c r="L949" s="3" t="s">
        <v>204</v>
      </c>
      <c r="M949" s="3" t="s">
        <v>70</v>
      </c>
      <c r="N949" s="3" t="s">
        <v>1356</v>
      </c>
      <c r="O949" s="3">
        <v>0</v>
      </c>
      <c r="P949" s="3">
        <v>12</v>
      </c>
      <c r="Q949" s="3" t="s">
        <v>60</v>
      </c>
      <c r="R949" s="3" t="s">
        <v>61</v>
      </c>
      <c r="S949" s="3">
        <v>27</v>
      </c>
      <c r="T949" s="3">
        <v>2</v>
      </c>
      <c r="U949" s="3">
        <v>25</v>
      </c>
      <c r="V949" s="3">
        <v>16</v>
      </c>
      <c r="W949" s="3">
        <v>0</v>
      </c>
      <c r="X949" s="3" t="s">
        <v>147</v>
      </c>
      <c r="Y949" s="3">
        <v>0</v>
      </c>
      <c r="Z949" s="3">
        <v>0</v>
      </c>
      <c r="AA949" s="3">
        <v>0</v>
      </c>
      <c r="AB949" s="3">
        <v>0</v>
      </c>
      <c r="AC949" s="3">
        <v>51</v>
      </c>
      <c r="AD949" s="3">
        <v>17</v>
      </c>
      <c r="AE949" s="3">
        <v>14</v>
      </c>
      <c r="AF949" s="3" t="s">
        <v>0</v>
      </c>
      <c r="AG949" s="3" t="s">
        <v>49</v>
      </c>
    </row>
    <row r="950" spans="1:33" ht="89.25" x14ac:dyDescent="0.2">
      <c r="A950" s="4" t="str">
        <f>HYPERLINK("http://www.patentics.cn/invokexml.do?sf=ShowPatent&amp;spn=US7453837&amp;sv=20f7d93d872a95bf41d0ba6210abd908","US7453837")</f>
        <v>US7453837</v>
      </c>
      <c r="B950" s="2" t="s">
        <v>4386</v>
      </c>
      <c r="C950" s="2" t="s">
        <v>1629</v>
      </c>
      <c r="D950" s="2" t="s">
        <v>346</v>
      </c>
      <c r="E950" s="2" t="s">
        <v>346</v>
      </c>
      <c r="F950" s="2" t="s">
        <v>4387</v>
      </c>
      <c r="G950" s="2" t="s">
        <v>1210</v>
      </c>
      <c r="H950" s="2" t="s">
        <v>1631</v>
      </c>
      <c r="I950" s="2" t="s">
        <v>1632</v>
      </c>
      <c r="J950" s="2" t="s">
        <v>4388</v>
      </c>
      <c r="K950" s="2" t="s">
        <v>84</v>
      </c>
      <c r="L950" s="2" t="s">
        <v>114</v>
      </c>
      <c r="M950" s="2" t="s">
        <v>82</v>
      </c>
      <c r="N950" s="2" t="s">
        <v>4389</v>
      </c>
      <c r="O950" s="2">
        <v>0</v>
      </c>
      <c r="P950" s="2">
        <v>28</v>
      </c>
      <c r="Q950" s="2" t="s">
        <v>60</v>
      </c>
      <c r="R950" s="2" t="s">
        <v>61</v>
      </c>
      <c r="S950" s="2">
        <v>35</v>
      </c>
      <c r="T950" s="2">
        <v>3</v>
      </c>
      <c r="U950" s="2">
        <v>32</v>
      </c>
      <c r="V950" s="2">
        <v>14</v>
      </c>
      <c r="W950" s="2">
        <v>20</v>
      </c>
      <c r="X950" s="2" t="s">
        <v>4390</v>
      </c>
      <c r="Y950" s="2">
        <v>8</v>
      </c>
      <c r="Z950" s="2">
        <v>12</v>
      </c>
      <c r="AA950" s="2">
        <v>4</v>
      </c>
      <c r="AB950" s="2">
        <v>1</v>
      </c>
      <c r="AC950" s="2">
        <v>12</v>
      </c>
      <c r="AD950" s="2">
        <v>7</v>
      </c>
      <c r="AE950" s="2" t="s">
        <v>0</v>
      </c>
      <c r="AF950" s="2">
        <v>3</v>
      </c>
      <c r="AG950" s="2" t="s">
        <v>49</v>
      </c>
    </row>
    <row r="951" spans="1:33" ht="51" x14ac:dyDescent="0.2">
      <c r="A951" s="5" t="str">
        <f>HYPERLINK("http://www.patentics.cn/invokexml.do?sf=ShowPatent&amp;spn=US8644872&amp;sv=6c98e59cba73f0fa92ad1335780eebf4","US8644872")</f>
        <v>US8644872</v>
      </c>
      <c r="B951" s="3" t="s">
        <v>4391</v>
      </c>
      <c r="C951" s="3" t="s">
        <v>4392</v>
      </c>
      <c r="D951" s="3" t="s">
        <v>52</v>
      </c>
      <c r="E951" s="3" t="s">
        <v>52</v>
      </c>
      <c r="F951" s="3" t="s">
        <v>4393</v>
      </c>
      <c r="G951" s="3" t="s">
        <v>3636</v>
      </c>
      <c r="H951" s="3" t="s">
        <v>3637</v>
      </c>
      <c r="I951" s="3" t="s">
        <v>1602</v>
      </c>
      <c r="J951" s="3" t="s">
        <v>152</v>
      </c>
      <c r="K951" s="3" t="s">
        <v>84</v>
      </c>
      <c r="L951" s="3" t="s">
        <v>163</v>
      </c>
      <c r="M951" s="3" t="s">
        <v>58</v>
      </c>
      <c r="N951" s="3" t="s">
        <v>1521</v>
      </c>
      <c r="O951" s="3">
        <v>0</v>
      </c>
      <c r="P951" s="3">
        <v>16</v>
      </c>
      <c r="Q951" s="3" t="s">
        <v>60</v>
      </c>
      <c r="R951" s="3" t="s">
        <v>61</v>
      </c>
      <c r="S951" s="3">
        <v>25</v>
      </c>
      <c r="T951" s="3">
        <v>7</v>
      </c>
      <c r="U951" s="3">
        <v>18</v>
      </c>
      <c r="V951" s="3">
        <v>12</v>
      </c>
      <c r="W951" s="3">
        <v>0</v>
      </c>
      <c r="X951" s="3" t="s">
        <v>147</v>
      </c>
      <c r="Y951" s="3">
        <v>0</v>
      </c>
      <c r="Z951" s="3">
        <v>0</v>
      </c>
      <c r="AA951" s="3">
        <v>0</v>
      </c>
      <c r="AB951" s="3">
        <v>0</v>
      </c>
      <c r="AC951" s="3">
        <v>23</v>
      </c>
      <c r="AD951" s="3">
        <v>7</v>
      </c>
      <c r="AE951" s="3">
        <v>14</v>
      </c>
      <c r="AF951" s="3" t="s">
        <v>0</v>
      </c>
      <c r="AG951" s="3" t="s">
        <v>49</v>
      </c>
    </row>
    <row r="952" spans="1:33" ht="51" x14ac:dyDescent="0.2">
      <c r="A952" s="5" t="str">
        <f>HYPERLINK("http://www.patentics.cn/invokexml.do?sf=ShowPatent&amp;spn=US8761822&amp;sv=b9819500d51d59c6c95ea6327e771dda","US8761822")</f>
        <v>US8761822</v>
      </c>
      <c r="B952" s="3" t="s">
        <v>4394</v>
      </c>
      <c r="C952" s="3" t="s">
        <v>4395</v>
      </c>
      <c r="D952" s="3" t="s">
        <v>52</v>
      </c>
      <c r="E952" s="3" t="s">
        <v>52</v>
      </c>
      <c r="F952" s="3" t="s">
        <v>4393</v>
      </c>
      <c r="G952" s="3" t="s">
        <v>3636</v>
      </c>
      <c r="H952" s="3" t="s">
        <v>3637</v>
      </c>
      <c r="I952" s="3" t="s">
        <v>1602</v>
      </c>
      <c r="J952" s="3" t="s">
        <v>1031</v>
      </c>
      <c r="K952" s="3" t="s">
        <v>84</v>
      </c>
      <c r="L952" s="3" t="s">
        <v>163</v>
      </c>
      <c r="M952" s="3" t="s">
        <v>58</v>
      </c>
      <c r="N952" s="3" t="s">
        <v>1521</v>
      </c>
      <c r="O952" s="3">
        <v>0</v>
      </c>
      <c r="P952" s="3">
        <v>12</v>
      </c>
      <c r="Q952" s="3" t="s">
        <v>60</v>
      </c>
      <c r="R952" s="3" t="s">
        <v>61</v>
      </c>
      <c r="S952" s="3">
        <v>25</v>
      </c>
      <c r="T952" s="3">
        <v>7</v>
      </c>
      <c r="U952" s="3">
        <v>18</v>
      </c>
      <c r="V952" s="3">
        <v>12</v>
      </c>
      <c r="W952" s="3">
        <v>0</v>
      </c>
      <c r="X952" s="3" t="s">
        <v>147</v>
      </c>
      <c r="Y952" s="3">
        <v>0</v>
      </c>
      <c r="Z952" s="3">
        <v>0</v>
      </c>
      <c r="AA952" s="3">
        <v>0</v>
      </c>
      <c r="AB952" s="3">
        <v>0</v>
      </c>
      <c r="AC952" s="3">
        <v>23</v>
      </c>
      <c r="AD952" s="3">
        <v>7</v>
      </c>
      <c r="AE952" s="3">
        <v>14</v>
      </c>
      <c r="AF952" s="3" t="s">
        <v>0</v>
      </c>
      <c r="AG952" s="3" t="s">
        <v>49</v>
      </c>
    </row>
    <row r="953" spans="1:33" ht="191.25" x14ac:dyDescent="0.2">
      <c r="A953" s="5" t="str">
        <f>HYPERLINK("http://www.patentics.cn/invokexml.do?sf=ShowPatent&amp;spn=US8774816&amp;sv=40c71ed6d024f5fa224e24b909701534","US8774816")</f>
        <v>US8774816</v>
      </c>
      <c r="B953" s="3" t="s">
        <v>1660</v>
      </c>
      <c r="C953" s="3" t="s">
        <v>1644</v>
      </c>
      <c r="D953" s="3" t="s">
        <v>52</v>
      </c>
      <c r="E953" s="3" t="s">
        <v>52</v>
      </c>
      <c r="F953" s="3" t="s">
        <v>1645</v>
      </c>
      <c r="G953" s="3" t="s">
        <v>1646</v>
      </c>
      <c r="H953" s="3" t="s">
        <v>1647</v>
      </c>
      <c r="I953" s="3" t="s">
        <v>1661</v>
      </c>
      <c r="J953" s="3" t="s">
        <v>1662</v>
      </c>
      <c r="K953" s="3" t="s">
        <v>84</v>
      </c>
      <c r="L953" s="3" t="s">
        <v>163</v>
      </c>
      <c r="M953" s="3" t="s">
        <v>82</v>
      </c>
      <c r="N953" s="3" t="s">
        <v>1649</v>
      </c>
      <c r="O953" s="3">
        <v>0</v>
      </c>
      <c r="P953" s="3">
        <v>10</v>
      </c>
      <c r="Q953" s="3" t="s">
        <v>60</v>
      </c>
      <c r="R953" s="3" t="s">
        <v>61</v>
      </c>
      <c r="S953" s="3">
        <v>58</v>
      </c>
      <c r="T953" s="3">
        <v>17</v>
      </c>
      <c r="U953" s="3">
        <v>41</v>
      </c>
      <c r="V953" s="3">
        <v>16</v>
      </c>
      <c r="W953" s="3">
        <v>0</v>
      </c>
      <c r="X953" s="3" t="s">
        <v>147</v>
      </c>
      <c r="Y953" s="3">
        <v>0</v>
      </c>
      <c r="Z953" s="3">
        <v>0</v>
      </c>
      <c r="AA953" s="3">
        <v>0</v>
      </c>
      <c r="AB953" s="3">
        <v>0</v>
      </c>
      <c r="AC953" s="3">
        <v>22</v>
      </c>
      <c r="AD953" s="3">
        <v>15</v>
      </c>
      <c r="AE953" s="3">
        <v>14</v>
      </c>
      <c r="AF953" s="3" t="s">
        <v>0</v>
      </c>
      <c r="AG953" s="3" t="s">
        <v>49</v>
      </c>
    </row>
    <row r="954" spans="1:33" ht="38.25" x14ac:dyDescent="0.2">
      <c r="A954" s="4" t="str">
        <f>HYPERLINK("http://www.patentics.cn/invokexml.do?sf=ShowPatent&amp;spn=WO2013071813&amp;sv=4031750dfb23abca677bdd80b9efe863","WO2013071813")</f>
        <v>WO2013071813</v>
      </c>
      <c r="B954" s="2" t="s">
        <v>4396</v>
      </c>
      <c r="C954" s="2" t="s">
        <v>4397</v>
      </c>
      <c r="D954" s="2" t="s">
        <v>346</v>
      </c>
      <c r="E954" s="2" t="s">
        <v>346</v>
      </c>
      <c r="F954" s="2" t="s">
        <v>4398</v>
      </c>
      <c r="G954" s="2" t="s">
        <v>4398</v>
      </c>
      <c r="H954" s="2" t="s">
        <v>4399</v>
      </c>
      <c r="I954" s="2" t="s">
        <v>1412</v>
      </c>
      <c r="J954" s="2" t="s">
        <v>4400</v>
      </c>
      <c r="K954" s="2" t="s">
        <v>82</v>
      </c>
      <c r="L954" s="2" t="s">
        <v>835</v>
      </c>
      <c r="M954" s="2" t="s">
        <v>0</v>
      </c>
      <c r="N954" s="2" t="s">
        <v>0</v>
      </c>
      <c r="O954" s="2">
        <v>11</v>
      </c>
      <c r="P954" s="2">
        <v>15</v>
      </c>
      <c r="Q954" s="2" t="s">
        <v>352</v>
      </c>
      <c r="R954" s="2" t="s">
        <v>47</v>
      </c>
      <c r="S954" s="2">
        <v>4</v>
      </c>
      <c r="T954" s="2">
        <v>2</v>
      </c>
      <c r="U954" s="2">
        <v>2</v>
      </c>
      <c r="V954" s="2">
        <v>3</v>
      </c>
      <c r="W954" s="2">
        <v>2</v>
      </c>
      <c r="X954" s="2" t="s">
        <v>1232</v>
      </c>
      <c r="Y954" s="2">
        <v>0</v>
      </c>
      <c r="Z954" s="2">
        <v>2</v>
      </c>
      <c r="AA954" s="2">
        <v>1</v>
      </c>
      <c r="AB954" s="2">
        <v>1</v>
      </c>
      <c r="AC954" s="2">
        <v>1</v>
      </c>
      <c r="AD954" s="2">
        <v>2</v>
      </c>
      <c r="AE954" s="2" t="s">
        <v>0</v>
      </c>
      <c r="AF954" s="2">
        <v>2</v>
      </c>
      <c r="AG954" s="2" t="s">
        <v>0</v>
      </c>
    </row>
    <row r="955" spans="1:33" ht="114.75" x14ac:dyDescent="0.2">
      <c r="A955" s="5" t="str">
        <f>HYPERLINK("http://www.patentics.cn/invokexml.do?sf=ShowPatent&amp;spn=US9462499&amp;sv=ffd138615fd216f746b6ec7dd08bac7b","US9462499")</f>
        <v>US9462499</v>
      </c>
      <c r="B955" s="3" t="s">
        <v>4401</v>
      </c>
      <c r="C955" s="3" t="s">
        <v>4402</v>
      </c>
      <c r="D955" s="3" t="s">
        <v>52</v>
      </c>
      <c r="E955" s="3" t="s">
        <v>52</v>
      </c>
      <c r="F955" s="3" t="s">
        <v>4403</v>
      </c>
      <c r="G955" s="3" t="s">
        <v>4404</v>
      </c>
      <c r="H955" s="3" t="s">
        <v>4405</v>
      </c>
      <c r="I955" s="3" t="s">
        <v>1349</v>
      </c>
      <c r="J955" s="3" t="s">
        <v>329</v>
      </c>
      <c r="K955" s="3" t="s">
        <v>82</v>
      </c>
      <c r="L955" s="3" t="s">
        <v>83</v>
      </c>
      <c r="M955" s="3" t="s">
        <v>82</v>
      </c>
      <c r="N955" s="3" t="s">
        <v>799</v>
      </c>
      <c r="O955" s="3">
        <v>0</v>
      </c>
      <c r="P955" s="3">
        <v>16</v>
      </c>
      <c r="Q955" s="3" t="s">
        <v>60</v>
      </c>
      <c r="R955" s="3" t="s">
        <v>61</v>
      </c>
      <c r="S955" s="3">
        <v>24</v>
      </c>
      <c r="T955" s="3">
        <v>7</v>
      </c>
      <c r="U955" s="3">
        <v>17</v>
      </c>
      <c r="V955" s="3">
        <v>10</v>
      </c>
      <c r="W955" s="3">
        <v>0</v>
      </c>
      <c r="X955" s="3" t="s">
        <v>147</v>
      </c>
      <c r="Y955" s="3">
        <v>0</v>
      </c>
      <c r="Z955" s="3">
        <v>0</v>
      </c>
      <c r="AA955" s="3">
        <v>0</v>
      </c>
      <c r="AB955" s="3">
        <v>0</v>
      </c>
      <c r="AC955" s="3">
        <v>5</v>
      </c>
      <c r="AD955" s="3">
        <v>2</v>
      </c>
      <c r="AE955" s="3">
        <v>14</v>
      </c>
      <c r="AF955" s="3" t="s">
        <v>0</v>
      </c>
      <c r="AG955" s="3" t="s">
        <v>49</v>
      </c>
    </row>
    <row r="956" spans="1:33" ht="114.75" x14ac:dyDescent="0.2">
      <c r="A956" s="5" t="str">
        <f>HYPERLINK("http://www.patentics.cn/invokexml.do?sf=ShowPatent&amp;spn=US9497654&amp;sv=a4183fb62e0e343ca73afc7d375930af","US9497654")</f>
        <v>US9497654</v>
      </c>
      <c r="B956" s="3" t="s">
        <v>4406</v>
      </c>
      <c r="C956" s="3" t="s">
        <v>4402</v>
      </c>
      <c r="D956" s="3" t="s">
        <v>52</v>
      </c>
      <c r="E956" s="3" t="s">
        <v>52</v>
      </c>
      <c r="F956" s="3" t="s">
        <v>4403</v>
      </c>
      <c r="G956" s="3" t="s">
        <v>4404</v>
      </c>
      <c r="H956" s="3" t="s">
        <v>4405</v>
      </c>
      <c r="I956" s="3" t="s">
        <v>1349</v>
      </c>
      <c r="J956" s="3" t="s">
        <v>1677</v>
      </c>
      <c r="K956" s="3" t="s">
        <v>82</v>
      </c>
      <c r="L956" s="3" t="s">
        <v>2082</v>
      </c>
      <c r="M956" s="3" t="s">
        <v>82</v>
      </c>
      <c r="N956" s="3" t="s">
        <v>799</v>
      </c>
      <c r="O956" s="3">
        <v>0</v>
      </c>
      <c r="P956" s="3">
        <v>20</v>
      </c>
      <c r="Q956" s="3" t="s">
        <v>60</v>
      </c>
      <c r="R956" s="3" t="s">
        <v>61</v>
      </c>
      <c r="S956" s="3">
        <v>23</v>
      </c>
      <c r="T956" s="3">
        <v>6</v>
      </c>
      <c r="U956" s="3">
        <v>17</v>
      </c>
      <c r="V956" s="3">
        <v>10</v>
      </c>
      <c r="W956" s="3">
        <v>0</v>
      </c>
      <c r="X956" s="3" t="s">
        <v>147</v>
      </c>
      <c r="Y956" s="3">
        <v>0</v>
      </c>
      <c r="Z956" s="3">
        <v>0</v>
      </c>
      <c r="AA956" s="3">
        <v>0</v>
      </c>
      <c r="AB956" s="3">
        <v>0</v>
      </c>
      <c r="AC956" s="3">
        <v>5</v>
      </c>
      <c r="AD956" s="3">
        <v>2</v>
      </c>
      <c r="AE956" s="3">
        <v>14</v>
      </c>
      <c r="AF956" s="3" t="s">
        <v>0</v>
      </c>
      <c r="AG956" s="3" t="s">
        <v>49</v>
      </c>
    </row>
    <row r="957" spans="1:33" ht="51" x14ac:dyDescent="0.2">
      <c r="A957" s="4" t="str">
        <f>HYPERLINK("http://www.patentics.cn/invokexml.do?sf=ShowPatent&amp;spn=WO2012174819&amp;sv=8d018bce9388529d4ed9295e5eb4983c","WO2012174819")</f>
        <v>WO2012174819</v>
      </c>
      <c r="B957" s="2" t="s">
        <v>4407</v>
      </c>
      <c r="C957" s="2" t="s">
        <v>4408</v>
      </c>
      <c r="D957" s="2" t="s">
        <v>4409</v>
      </c>
      <c r="E957" s="2" t="s">
        <v>4409</v>
      </c>
      <c r="F957" s="2" t="s">
        <v>4410</v>
      </c>
      <c r="G957" s="2" t="s">
        <v>4411</v>
      </c>
      <c r="H957" s="2" t="s">
        <v>3618</v>
      </c>
      <c r="I957" s="2" t="s">
        <v>4257</v>
      </c>
      <c r="J957" s="2" t="s">
        <v>3062</v>
      </c>
      <c r="K957" s="2" t="s">
        <v>58</v>
      </c>
      <c r="L957" s="2" t="s">
        <v>1980</v>
      </c>
      <c r="M957" s="2" t="s">
        <v>0</v>
      </c>
      <c r="N957" s="2" t="s">
        <v>0</v>
      </c>
      <c r="O957" s="2">
        <v>6</v>
      </c>
      <c r="P957" s="2">
        <v>9</v>
      </c>
      <c r="Q957" s="2" t="s">
        <v>352</v>
      </c>
      <c r="R957" s="2" t="s">
        <v>47</v>
      </c>
      <c r="S957" s="2">
        <v>3</v>
      </c>
      <c r="T957" s="2">
        <v>1</v>
      </c>
      <c r="U957" s="2">
        <v>2</v>
      </c>
      <c r="V957" s="2">
        <v>3</v>
      </c>
      <c r="W957" s="2">
        <v>2</v>
      </c>
      <c r="X957" s="2" t="s">
        <v>1171</v>
      </c>
      <c r="Y957" s="2">
        <v>0</v>
      </c>
      <c r="Z957" s="2">
        <v>2</v>
      </c>
      <c r="AA957" s="2">
        <v>1</v>
      </c>
      <c r="AB957" s="2">
        <v>2</v>
      </c>
      <c r="AC957" s="2">
        <v>1</v>
      </c>
      <c r="AD957" s="2">
        <v>2</v>
      </c>
      <c r="AE957" s="2" t="s">
        <v>0</v>
      </c>
      <c r="AF957" s="2">
        <v>2</v>
      </c>
      <c r="AG957" s="2" t="s">
        <v>0</v>
      </c>
    </row>
    <row r="958" spans="1:33" ht="153" x14ac:dyDescent="0.2">
      <c r="A958" s="5" t="str">
        <f>HYPERLINK("http://www.patentics.cn/invokexml.do?sf=ShowPatent&amp;spn=US9204437&amp;sv=d911863af489ee44ce3fa7e1a3c29b81","US9204437")</f>
        <v>US9204437</v>
      </c>
      <c r="B958" s="3" t="s">
        <v>4412</v>
      </c>
      <c r="C958" s="3" t="s">
        <v>4413</v>
      </c>
      <c r="D958" s="3" t="s">
        <v>52</v>
      </c>
      <c r="E958" s="3" t="s">
        <v>52</v>
      </c>
      <c r="F958" s="3" t="s">
        <v>4414</v>
      </c>
      <c r="G958" s="3" t="s">
        <v>4415</v>
      </c>
      <c r="H958" s="3" t="s">
        <v>3573</v>
      </c>
      <c r="I958" s="3" t="s">
        <v>4416</v>
      </c>
      <c r="J958" s="3" t="s">
        <v>1362</v>
      </c>
      <c r="K958" s="3" t="s">
        <v>84</v>
      </c>
      <c r="L958" s="3" t="s">
        <v>114</v>
      </c>
      <c r="M958" s="3" t="s">
        <v>82</v>
      </c>
      <c r="N958" s="3" t="s">
        <v>1185</v>
      </c>
      <c r="O958" s="3">
        <v>0</v>
      </c>
      <c r="P958" s="3">
        <v>16</v>
      </c>
      <c r="Q958" s="3" t="s">
        <v>60</v>
      </c>
      <c r="R958" s="3" t="s">
        <v>61</v>
      </c>
      <c r="S958" s="3">
        <v>20</v>
      </c>
      <c r="T958" s="3">
        <v>2</v>
      </c>
      <c r="U958" s="3">
        <v>18</v>
      </c>
      <c r="V958" s="3">
        <v>13</v>
      </c>
      <c r="W958" s="3">
        <v>0</v>
      </c>
      <c r="X958" s="3" t="s">
        <v>147</v>
      </c>
      <c r="Y958" s="3">
        <v>0</v>
      </c>
      <c r="Z958" s="3">
        <v>0</v>
      </c>
      <c r="AA958" s="3">
        <v>0</v>
      </c>
      <c r="AB958" s="3">
        <v>0</v>
      </c>
      <c r="AC958" s="3">
        <v>4</v>
      </c>
      <c r="AD958" s="3">
        <v>4</v>
      </c>
      <c r="AE958" s="3">
        <v>14</v>
      </c>
      <c r="AF958" s="3" t="s">
        <v>0</v>
      </c>
      <c r="AG958" s="3" t="s">
        <v>49</v>
      </c>
    </row>
    <row r="959" spans="1:33" ht="153" x14ac:dyDescent="0.2">
      <c r="A959" s="5" t="str">
        <f>HYPERLINK("http://www.patentics.cn/invokexml.do?sf=ShowPatent&amp;spn=WO2014133926&amp;sv=dc80c9a3990e6e0b01a70303163c421f","WO2014133926")</f>
        <v>WO2014133926</v>
      </c>
      <c r="B959" s="3" t="s">
        <v>4417</v>
      </c>
      <c r="C959" s="3" t="s">
        <v>4418</v>
      </c>
      <c r="D959" s="3" t="s">
        <v>52</v>
      </c>
      <c r="E959" s="3" t="s">
        <v>52</v>
      </c>
      <c r="F959" s="3" t="s">
        <v>4419</v>
      </c>
      <c r="G959" s="3" t="s">
        <v>4420</v>
      </c>
      <c r="H959" s="3" t="s">
        <v>3573</v>
      </c>
      <c r="I959" s="3" t="s">
        <v>1715</v>
      </c>
      <c r="J959" s="3" t="s">
        <v>4421</v>
      </c>
      <c r="K959" s="3" t="s">
        <v>58</v>
      </c>
      <c r="L959" s="3" t="s">
        <v>1980</v>
      </c>
      <c r="M959" s="3" t="s">
        <v>0</v>
      </c>
      <c r="N959" s="3" t="s">
        <v>0</v>
      </c>
      <c r="O959" s="3">
        <v>30</v>
      </c>
      <c r="P959" s="3">
        <v>17</v>
      </c>
      <c r="Q959" s="3" t="s">
        <v>352</v>
      </c>
      <c r="R959" s="3" t="s">
        <v>61</v>
      </c>
      <c r="S959" s="3">
        <v>3</v>
      </c>
      <c r="T959" s="3">
        <v>0</v>
      </c>
      <c r="U959" s="3">
        <v>3</v>
      </c>
      <c r="V959" s="3">
        <v>1</v>
      </c>
      <c r="W959" s="3">
        <v>0</v>
      </c>
      <c r="X959" s="3" t="s">
        <v>147</v>
      </c>
      <c r="Y959" s="3">
        <v>0</v>
      </c>
      <c r="Z959" s="3">
        <v>0</v>
      </c>
      <c r="AA959" s="3">
        <v>0</v>
      </c>
      <c r="AB959" s="3">
        <v>0</v>
      </c>
      <c r="AC959" s="3">
        <v>4</v>
      </c>
      <c r="AD959" s="3">
        <v>4</v>
      </c>
      <c r="AE959" s="3">
        <v>14</v>
      </c>
      <c r="AF959" s="3" t="s">
        <v>0</v>
      </c>
      <c r="AG959" s="3" t="s">
        <v>0</v>
      </c>
    </row>
    <row r="960" spans="1:33" ht="51" x14ac:dyDescent="0.2">
      <c r="A960" s="4" t="str">
        <f>HYPERLINK("http://www.patentics.cn/invokexml.do?sf=ShowPatent&amp;spn=WO2012149871&amp;sv=97261c8175c1dabb7693d19ab5abb286","WO2012149871")</f>
        <v>WO2012149871</v>
      </c>
      <c r="B960" s="2" t="s">
        <v>4422</v>
      </c>
      <c r="C960" s="2" t="s">
        <v>4423</v>
      </c>
      <c r="D960" s="2" t="s">
        <v>1394</v>
      </c>
      <c r="E960" s="2" t="s">
        <v>1394</v>
      </c>
      <c r="F960" s="2" t="s">
        <v>4424</v>
      </c>
      <c r="G960" s="2" t="s">
        <v>4424</v>
      </c>
      <c r="H960" s="2" t="s">
        <v>2881</v>
      </c>
      <c r="I960" s="2" t="s">
        <v>4425</v>
      </c>
      <c r="J960" s="2" t="s">
        <v>4426</v>
      </c>
      <c r="K960" s="2" t="s">
        <v>555</v>
      </c>
      <c r="L960" s="2" t="s">
        <v>4427</v>
      </c>
      <c r="M960" s="2" t="s">
        <v>0</v>
      </c>
      <c r="N960" s="2" t="s">
        <v>0</v>
      </c>
      <c r="O960" s="2">
        <v>7</v>
      </c>
      <c r="P960" s="2">
        <v>22</v>
      </c>
      <c r="Q960" s="2" t="s">
        <v>352</v>
      </c>
      <c r="R960" s="2" t="s">
        <v>47</v>
      </c>
      <c r="S960" s="2">
        <v>4</v>
      </c>
      <c r="T960" s="2">
        <v>1</v>
      </c>
      <c r="U960" s="2">
        <v>3</v>
      </c>
      <c r="V960" s="2">
        <v>4</v>
      </c>
      <c r="W960" s="2">
        <v>2</v>
      </c>
      <c r="X960" s="2" t="s">
        <v>1186</v>
      </c>
      <c r="Y960" s="2">
        <v>0</v>
      </c>
      <c r="Z960" s="2">
        <v>2</v>
      </c>
      <c r="AA960" s="2">
        <v>1</v>
      </c>
      <c r="AB960" s="2">
        <v>1</v>
      </c>
      <c r="AC960" s="2">
        <v>4</v>
      </c>
      <c r="AD960" s="2">
        <v>4</v>
      </c>
      <c r="AE960" s="2" t="s">
        <v>0</v>
      </c>
      <c r="AF960" s="2">
        <v>2</v>
      </c>
      <c r="AG960" s="2" t="s">
        <v>0</v>
      </c>
    </row>
    <row r="961" spans="1:33" ht="89.25" x14ac:dyDescent="0.2">
      <c r="A961" s="5" t="str">
        <f>HYPERLINK("http://www.patentics.cn/invokexml.do?sf=ShowPatent&amp;spn=US9275014&amp;sv=5a0e76f5fb27a303d05924e283c6d1c0","US9275014")</f>
        <v>US9275014</v>
      </c>
      <c r="B961" s="3" t="s">
        <v>4428</v>
      </c>
      <c r="C961" s="3" t="s">
        <v>4429</v>
      </c>
      <c r="D961" s="3" t="s">
        <v>52</v>
      </c>
      <c r="E961" s="3" t="s">
        <v>52</v>
      </c>
      <c r="F961" s="3" t="s">
        <v>4430</v>
      </c>
      <c r="G961" s="3" t="s">
        <v>4430</v>
      </c>
      <c r="H961" s="3" t="s">
        <v>4431</v>
      </c>
      <c r="I961" s="3" t="s">
        <v>4431</v>
      </c>
      <c r="J961" s="3" t="s">
        <v>965</v>
      </c>
      <c r="K961" s="3" t="s">
        <v>555</v>
      </c>
      <c r="L961" s="3" t="s">
        <v>4427</v>
      </c>
      <c r="M961" s="3" t="s">
        <v>555</v>
      </c>
      <c r="N961" s="3" t="s">
        <v>4432</v>
      </c>
      <c r="O961" s="3">
        <v>0</v>
      </c>
      <c r="P961" s="3">
        <v>29</v>
      </c>
      <c r="Q961" s="3" t="s">
        <v>60</v>
      </c>
      <c r="R961" s="3" t="s">
        <v>61</v>
      </c>
      <c r="S961" s="3">
        <v>31</v>
      </c>
      <c r="T961" s="3">
        <v>4</v>
      </c>
      <c r="U961" s="3">
        <v>27</v>
      </c>
      <c r="V961" s="3">
        <v>23</v>
      </c>
      <c r="W961" s="3">
        <v>0</v>
      </c>
      <c r="X961" s="3" t="s">
        <v>147</v>
      </c>
      <c r="Y961" s="3">
        <v>0</v>
      </c>
      <c r="Z961" s="3">
        <v>0</v>
      </c>
      <c r="AA961" s="3">
        <v>0</v>
      </c>
      <c r="AB961" s="3">
        <v>0</v>
      </c>
      <c r="AC961" s="3">
        <v>6</v>
      </c>
      <c r="AD961" s="3">
        <v>6</v>
      </c>
      <c r="AE961" s="3">
        <v>14</v>
      </c>
      <c r="AF961" s="3" t="s">
        <v>0</v>
      </c>
      <c r="AG961" s="3" t="s">
        <v>49</v>
      </c>
    </row>
    <row r="962" spans="1:33" ht="76.5" x14ac:dyDescent="0.2">
      <c r="A962" s="5" t="str">
        <f>HYPERLINK("http://www.patentics.cn/invokexml.do?sf=ShowPatent&amp;spn=US9495154&amp;sv=3154d79fcb7f25680f99e17f9b687032","US9495154")</f>
        <v>US9495154</v>
      </c>
      <c r="B962" s="3" t="s">
        <v>4433</v>
      </c>
      <c r="C962" s="3" t="s">
        <v>4434</v>
      </c>
      <c r="D962" s="3" t="s">
        <v>52</v>
      </c>
      <c r="E962" s="3" t="s">
        <v>52</v>
      </c>
      <c r="F962" s="3" t="s">
        <v>4430</v>
      </c>
      <c r="G962" s="3" t="s">
        <v>4430</v>
      </c>
      <c r="H962" s="3" t="s">
        <v>4431</v>
      </c>
      <c r="I962" s="3" t="s">
        <v>4431</v>
      </c>
      <c r="J962" s="3" t="s">
        <v>1677</v>
      </c>
      <c r="K962" s="3" t="s">
        <v>555</v>
      </c>
      <c r="L962" s="3" t="s">
        <v>4435</v>
      </c>
      <c r="M962" s="3" t="s">
        <v>555</v>
      </c>
      <c r="N962" s="3" t="s">
        <v>4436</v>
      </c>
      <c r="O962" s="3">
        <v>0</v>
      </c>
      <c r="P962" s="3">
        <v>22</v>
      </c>
      <c r="Q962" s="3" t="s">
        <v>60</v>
      </c>
      <c r="R962" s="3" t="s">
        <v>61</v>
      </c>
      <c r="S962" s="3">
        <v>32</v>
      </c>
      <c r="T962" s="3">
        <v>9</v>
      </c>
      <c r="U962" s="3">
        <v>23</v>
      </c>
      <c r="V962" s="3">
        <v>18</v>
      </c>
      <c r="W962" s="3">
        <v>0</v>
      </c>
      <c r="X962" s="3" t="s">
        <v>147</v>
      </c>
      <c r="Y962" s="3">
        <v>0</v>
      </c>
      <c r="Z962" s="3">
        <v>0</v>
      </c>
      <c r="AA962" s="3">
        <v>0</v>
      </c>
      <c r="AB962" s="3">
        <v>0</v>
      </c>
      <c r="AC962" s="3">
        <v>6</v>
      </c>
      <c r="AD962" s="3">
        <v>6</v>
      </c>
      <c r="AE962" s="3">
        <v>14</v>
      </c>
      <c r="AF962" s="3" t="s">
        <v>0</v>
      </c>
      <c r="AG962" s="3" t="s">
        <v>49</v>
      </c>
    </row>
    <row r="963" spans="1:33" ht="25.5" x14ac:dyDescent="0.2">
      <c r="A963" s="4" t="str">
        <f>HYPERLINK("http://www.patentics.cn/invokexml.do?sf=ShowPatent&amp;spn=WO2012006839&amp;sv=499a11d4383dbbaf4197aaafa0227130","WO2012006839")</f>
        <v>WO2012006839</v>
      </c>
      <c r="B963" s="2" t="s">
        <v>4437</v>
      </c>
      <c r="C963" s="2" t="s">
        <v>2363</v>
      </c>
      <c r="D963" s="2" t="s">
        <v>1394</v>
      </c>
      <c r="E963" s="2" t="s">
        <v>1394</v>
      </c>
      <c r="F963" s="2" t="s">
        <v>4438</v>
      </c>
      <c r="G963" s="2" t="s">
        <v>4438</v>
      </c>
      <c r="H963" s="2" t="s">
        <v>603</v>
      </c>
      <c r="I963" s="2" t="s">
        <v>2365</v>
      </c>
      <c r="J963" s="2" t="s">
        <v>475</v>
      </c>
      <c r="K963" s="2" t="s">
        <v>82</v>
      </c>
      <c r="L963" s="2" t="s">
        <v>1560</v>
      </c>
      <c r="M963" s="2" t="s">
        <v>0</v>
      </c>
      <c r="N963" s="2" t="s">
        <v>0</v>
      </c>
      <c r="O963" s="2">
        <v>10</v>
      </c>
      <c r="P963" s="2">
        <v>8</v>
      </c>
      <c r="Q963" s="2" t="s">
        <v>352</v>
      </c>
      <c r="R963" s="2" t="s">
        <v>47</v>
      </c>
      <c r="S963" s="2">
        <v>3</v>
      </c>
      <c r="T963" s="2">
        <v>1</v>
      </c>
      <c r="U963" s="2">
        <v>2</v>
      </c>
      <c r="V963" s="2">
        <v>3</v>
      </c>
      <c r="W963" s="2">
        <v>2</v>
      </c>
      <c r="X963" s="2" t="s">
        <v>468</v>
      </c>
      <c r="Y963" s="2">
        <v>0</v>
      </c>
      <c r="Z963" s="2">
        <v>2</v>
      </c>
      <c r="AA963" s="2">
        <v>1</v>
      </c>
      <c r="AB963" s="2">
        <v>2</v>
      </c>
      <c r="AC963" s="2">
        <v>5</v>
      </c>
      <c r="AD963" s="2">
        <v>4</v>
      </c>
      <c r="AE963" s="2" t="s">
        <v>0</v>
      </c>
      <c r="AF963" s="2">
        <v>2</v>
      </c>
      <c r="AG963" s="2" t="s">
        <v>0</v>
      </c>
    </row>
    <row r="964" spans="1:33" ht="51" x14ac:dyDescent="0.2">
      <c r="A964" s="5" t="str">
        <f>HYPERLINK("http://www.patentics.cn/invokexml.do?sf=ShowPatent&amp;spn=US9036552&amp;sv=d15b4eb9013a164fcf6dbf7544efc54f","US9036552")</f>
        <v>US9036552</v>
      </c>
      <c r="B964" s="3" t="s">
        <v>4439</v>
      </c>
      <c r="C964" s="3" t="s">
        <v>4440</v>
      </c>
      <c r="D964" s="3" t="s">
        <v>52</v>
      </c>
      <c r="E964" s="3" t="s">
        <v>52</v>
      </c>
      <c r="F964" s="3" t="s">
        <v>4441</v>
      </c>
      <c r="G964" s="3" t="s">
        <v>3572</v>
      </c>
      <c r="H964" s="3" t="s">
        <v>4442</v>
      </c>
      <c r="I964" s="3" t="s">
        <v>4443</v>
      </c>
      <c r="J964" s="3" t="s">
        <v>207</v>
      </c>
      <c r="K964" s="3" t="s">
        <v>82</v>
      </c>
      <c r="L964" s="3" t="s">
        <v>177</v>
      </c>
      <c r="M964" s="3" t="s">
        <v>0</v>
      </c>
      <c r="N964" s="3" t="s">
        <v>0</v>
      </c>
      <c r="O964" s="3">
        <v>0</v>
      </c>
      <c r="P964" s="3">
        <v>11</v>
      </c>
      <c r="Q964" s="3" t="s">
        <v>60</v>
      </c>
      <c r="R964" s="3" t="s">
        <v>61</v>
      </c>
      <c r="S964" s="3">
        <v>15</v>
      </c>
      <c r="T964" s="3">
        <v>2</v>
      </c>
      <c r="U964" s="3">
        <v>13</v>
      </c>
      <c r="V964" s="3">
        <v>10</v>
      </c>
      <c r="W964" s="3">
        <v>0</v>
      </c>
      <c r="X964" s="3" t="s">
        <v>147</v>
      </c>
      <c r="Y964" s="3">
        <v>0</v>
      </c>
      <c r="Z964" s="3">
        <v>0</v>
      </c>
      <c r="AA964" s="3">
        <v>0</v>
      </c>
      <c r="AB964" s="3">
        <v>0</v>
      </c>
      <c r="AC964" s="3">
        <v>3</v>
      </c>
      <c r="AD964" s="3">
        <v>3</v>
      </c>
      <c r="AE964" s="3">
        <v>14</v>
      </c>
      <c r="AF964" s="3" t="s">
        <v>0</v>
      </c>
      <c r="AG964" s="3" t="s">
        <v>49</v>
      </c>
    </row>
    <row r="965" spans="1:33" ht="25.5" x14ac:dyDescent="0.2">
      <c r="A965" s="5" t="str">
        <f>HYPERLINK("http://www.patentics.cn/invokexml.do?sf=ShowPatent&amp;spn=TWI513341&amp;sv=86fa463005d52d6e09a19028d8d33b06","TWI513341")</f>
        <v>TWI513341</v>
      </c>
      <c r="B965" s="3" t="s">
        <v>4444</v>
      </c>
      <c r="C965" s="3" t="s">
        <v>4445</v>
      </c>
      <c r="D965" s="3" t="s">
        <v>992</v>
      </c>
      <c r="E965" s="3" t="s">
        <v>338</v>
      </c>
      <c r="F965" s="3" t="s">
        <v>4446</v>
      </c>
      <c r="G965" s="3" t="s">
        <v>4447</v>
      </c>
      <c r="H965" s="3" t="s">
        <v>4442</v>
      </c>
      <c r="I965" s="3" t="s">
        <v>4448</v>
      </c>
      <c r="J965" s="3" t="s">
        <v>4449</v>
      </c>
      <c r="K965" s="3" t="s">
        <v>82</v>
      </c>
      <c r="L965" s="3" t="s">
        <v>3986</v>
      </c>
      <c r="M965" s="3" t="s">
        <v>0</v>
      </c>
      <c r="N965" s="3" t="s">
        <v>0</v>
      </c>
      <c r="O965" s="3">
        <v>20</v>
      </c>
      <c r="P965" s="3">
        <v>11</v>
      </c>
      <c r="Q965" s="3" t="s">
        <v>60</v>
      </c>
      <c r="R965" s="3" t="s">
        <v>1913</v>
      </c>
      <c r="S965" s="3">
        <v>5</v>
      </c>
      <c r="T965" s="3">
        <v>2</v>
      </c>
      <c r="U965" s="3">
        <v>3</v>
      </c>
      <c r="V965" s="3">
        <v>3</v>
      </c>
      <c r="W965" s="3">
        <v>0</v>
      </c>
      <c r="X965" s="3" t="s">
        <v>147</v>
      </c>
      <c r="Y965" s="3">
        <v>0</v>
      </c>
      <c r="Z965" s="3">
        <v>0</v>
      </c>
      <c r="AA965" s="3">
        <v>0</v>
      </c>
      <c r="AB965" s="3">
        <v>0</v>
      </c>
      <c r="AC965" s="3">
        <v>0</v>
      </c>
      <c r="AD965" s="3">
        <v>0</v>
      </c>
      <c r="AE965" s="3">
        <v>14</v>
      </c>
      <c r="AF965" s="3" t="s">
        <v>0</v>
      </c>
      <c r="AG965" s="3" t="s">
        <v>0</v>
      </c>
    </row>
    <row r="966" spans="1:33" ht="38.25" x14ac:dyDescent="0.2">
      <c r="A966" s="4" t="str">
        <f>HYPERLINK("http://www.patentics.cn/invokexml.do?sf=ShowPatent&amp;spn=WO2012000266&amp;sv=1fee3abed4f4579c73dc363bfd0705b6","WO2012000266")</f>
        <v>WO2012000266</v>
      </c>
      <c r="B966" s="2" t="s">
        <v>4450</v>
      </c>
      <c r="C966" s="2" t="s">
        <v>4451</v>
      </c>
      <c r="D966" s="2" t="s">
        <v>4452</v>
      </c>
      <c r="E966" s="2" t="s">
        <v>4452</v>
      </c>
      <c r="F966" s="2" t="s">
        <v>4453</v>
      </c>
      <c r="G966" s="2" t="s">
        <v>2087</v>
      </c>
      <c r="H966" s="2" t="s">
        <v>1992</v>
      </c>
      <c r="I966" s="2" t="s">
        <v>4454</v>
      </c>
      <c r="J966" s="2" t="s">
        <v>4455</v>
      </c>
      <c r="K966" s="2" t="s">
        <v>58</v>
      </c>
      <c r="L966" s="2" t="s">
        <v>1236</v>
      </c>
      <c r="M966" s="2" t="s">
        <v>0</v>
      </c>
      <c r="N966" s="2" t="s">
        <v>0</v>
      </c>
      <c r="O966" s="2">
        <v>8</v>
      </c>
      <c r="P966" s="2">
        <v>19</v>
      </c>
      <c r="Q966" s="2" t="s">
        <v>352</v>
      </c>
      <c r="R966" s="2" t="s">
        <v>47</v>
      </c>
      <c r="S966" s="2">
        <v>3</v>
      </c>
      <c r="T966" s="2">
        <v>0</v>
      </c>
      <c r="U966" s="2">
        <v>3</v>
      </c>
      <c r="V966" s="2">
        <v>2</v>
      </c>
      <c r="W966" s="2">
        <v>2</v>
      </c>
      <c r="X966" s="2" t="s">
        <v>4456</v>
      </c>
      <c r="Y966" s="2">
        <v>0</v>
      </c>
      <c r="Z966" s="2">
        <v>2</v>
      </c>
      <c r="AA966" s="2">
        <v>1</v>
      </c>
      <c r="AB966" s="2">
        <v>2</v>
      </c>
      <c r="AC966" s="2">
        <v>4</v>
      </c>
      <c r="AD966" s="2">
        <v>4</v>
      </c>
      <c r="AE966" s="2" t="s">
        <v>0</v>
      </c>
      <c r="AF966" s="2">
        <v>2</v>
      </c>
      <c r="AG966" s="2" t="s">
        <v>0</v>
      </c>
    </row>
    <row r="967" spans="1:33" ht="89.25" x14ac:dyDescent="0.2">
      <c r="A967" s="5" t="str">
        <f>HYPERLINK("http://www.patentics.cn/invokexml.do?sf=ShowPatent&amp;spn=US9119074&amp;sv=2e57dbad51bb3de0c5f9dc83de354d9e","US9119074")</f>
        <v>US9119074</v>
      </c>
      <c r="B967" s="3" t="s">
        <v>4457</v>
      </c>
      <c r="C967" s="3" t="s">
        <v>4458</v>
      </c>
      <c r="D967" s="3" t="s">
        <v>52</v>
      </c>
      <c r="E967" s="3" t="s">
        <v>52</v>
      </c>
      <c r="F967" s="3" t="s">
        <v>4459</v>
      </c>
      <c r="G967" s="3" t="s">
        <v>4460</v>
      </c>
      <c r="H967" s="3" t="s">
        <v>417</v>
      </c>
      <c r="I967" s="3" t="s">
        <v>417</v>
      </c>
      <c r="J967" s="3" t="s">
        <v>1085</v>
      </c>
      <c r="K967" s="3" t="s">
        <v>82</v>
      </c>
      <c r="L967" s="3" t="s">
        <v>83</v>
      </c>
      <c r="M967" s="3" t="s">
        <v>0</v>
      </c>
      <c r="N967" s="3" t="s">
        <v>0</v>
      </c>
      <c r="O967" s="3">
        <v>0</v>
      </c>
      <c r="P967" s="3">
        <v>14</v>
      </c>
      <c r="Q967" s="3" t="s">
        <v>60</v>
      </c>
      <c r="R967" s="3" t="s">
        <v>61</v>
      </c>
      <c r="S967" s="3">
        <v>34</v>
      </c>
      <c r="T967" s="3">
        <v>8</v>
      </c>
      <c r="U967" s="3">
        <v>26</v>
      </c>
      <c r="V967" s="3">
        <v>17</v>
      </c>
      <c r="W967" s="3">
        <v>0</v>
      </c>
      <c r="X967" s="3" t="s">
        <v>147</v>
      </c>
      <c r="Y967" s="3">
        <v>0</v>
      </c>
      <c r="Z967" s="3">
        <v>0</v>
      </c>
      <c r="AA967" s="3">
        <v>0</v>
      </c>
      <c r="AB967" s="3">
        <v>0</v>
      </c>
      <c r="AC967" s="3">
        <v>5</v>
      </c>
      <c r="AD967" s="3">
        <v>5</v>
      </c>
      <c r="AE967" s="3">
        <v>14</v>
      </c>
      <c r="AF967" s="3" t="s">
        <v>0</v>
      </c>
      <c r="AG967" s="3" t="s">
        <v>49</v>
      </c>
    </row>
    <row r="968" spans="1:33" ht="89.25" x14ac:dyDescent="0.2">
      <c r="A968" s="5" t="str">
        <f>HYPERLINK("http://www.patentics.cn/invokexml.do?sf=ShowPatent&amp;spn=WO2013184819&amp;sv=e6204b2872128e43382a1ad766485a20","WO2013184819")</f>
        <v>WO2013184819</v>
      </c>
      <c r="B968" s="3" t="s">
        <v>4461</v>
      </c>
      <c r="C968" s="3" t="s">
        <v>4458</v>
      </c>
      <c r="D968" s="3" t="s">
        <v>52</v>
      </c>
      <c r="E968" s="3" t="s">
        <v>52</v>
      </c>
      <c r="F968" s="3" t="s">
        <v>4462</v>
      </c>
      <c r="G968" s="3" t="s">
        <v>4463</v>
      </c>
      <c r="H968" s="3" t="s">
        <v>417</v>
      </c>
      <c r="I968" s="3" t="s">
        <v>4464</v>
      </c>
      <c r="J968" s="3" t="s">
        <v>4465</v>
      </c>
      <c r="K968" s="3" t="s">
        <v>82</v>
      </c>
      <c r="L968" s="3" t="s">
        <v>2712</v>
      </c>
      <c r="M968" s="3" t="s">
        <v>0</v>
      </c>
      <c r="N968" s="3" t="s">
        <v>0</v>
      </c>
      <c r="O968" s="3">
        <v>40</v>
      </c>
      <c r="P968" s="3">
        <v>9</v>
      </c>
      <c r="Q968" s="3" t="s">
        <v>352</v>
      </c>
      <c r="R968" s="3" t="s">
        <v>61</v>
      </c>
      <c r="S968" s="3">
        <v>4</v>
      </c>
      <c r="T968" s="3">
        <v>1</v>
      </c>
      <c r="U968" s="3">
        <v>3</v>
      </c>
      <c r="V968" s="3">
        <v>4</v>
      </c>
      <c r="W968" s="3">
        <v>0</v>
      </c>
      <c r="X968" s="3" t="s">
        <v>147</v>
      </c>
      <c r="Y968" s="3">
        <v>0</v>
      </c>
      <c r="Z968" s="3">
        <v>0</v>
      </c>
      <c r="AA968" s="3">
        <v>0</v>
      </c>
      <c r="AB968" s="3">
        <v>0</v>
      </c>
      <c r="AC968" s="3">
        <v>5</v>
      </c>
      <c r="AD968" s="3">
        <v>5</v>
      </c>
      <c r="AE968" s="3">
        <v>14</v>
      </c>
      <c r="AF968" s="3" t="s">
        <v>0</v>
      </c>
      <c r="AG968" s="3" t="s">
        <v>0</v>
      </c>
    </row>
    <row r="969" spans="1:33" ht="127.5" x14ac:dyDescent="0.2">
      <c r="A969" s="4" t="str">
        <f>HYPERLINK("http://www.patentics.cn/invokexml.do?sf=ShowPatent&amp;spn=WO2011147160&amp;sv=ebfb268bfeeaa5a540b6ce12479c565a","WO2011147160")</f>
        <v>WO2011147160</v>
      </c>
      <c r="B969" s="2" t="s">
        <v>4466</v>
      </c>
      <c r="C969" s="2" t="s">
        <v>4467</v>
      </c>
      <c r="D969" s="2" t="s">
        <v>4468</v>
      </c>
      <c r="E969" s="2" t="s">
        <v>4468</v>
      </c>
      <c r="F969" s="2" t="s">
        <v>4469</v>
      </c>
      <c r="G969" s="2" t="s">
        <v>4470</v>
      </c>
      <c r="H969" s="2" t="s">
        <v>4471</v>
      </c>
      <c r="I969" s="2" t="s">
        <v>4472</v>
      </c>
      <c r="J969" s="2" t="s">
        <v>4473</v>
      </c>
      <c r="K969" s="2" t="s">
        <v>82</v>
      </c>
      <c r="L969" s="2" t="s">
        <v>3335</v>
      </c>
      <c r="M969" s="2" t="s">
        <v>0</v>
      </c>
      <c r="N969" s="2" t="s">
        <v>0</v>
      </c>
      <c r="O969" s="2">
        <v>11</v>
      </c>
      <c r="P969" s="2">
        <v>21</v>
      </c>
      <c r="Q969" s="2" t="s">
        <v>352</v>
      </c>
      <c r="R969" s="2" t="s">
        <v>47</v>
      </c>
      <c r="S969" s="2">
        <v>3</v>
      </c>
      <c r="T969" s="2">
        <v>1</v>
      </c>
      <c r="U969" s="2">
        <v>2</v>
      </c>
      <c r="V969" s="2">
        <v>3</v>
      </c>
      <c r="W969" s="2">
        <v>2</v>
      </c>
      <c r="X969" s="2" t="s">
        <v>4474</v>
      </c>
      <c r="Y969" s="2">
        <v>0</v>
      </c>
      <c r="Z969" s="2">
        <v>2</v>
      </c>
      <c r="AA969" s="2">
        <v>1</v>
      </c>
      <c r="AB969" s="2">
        <v>2</v>
      </c>
      <c r="AC969" s="2">
        <v>2</v>
      </c>
      <c r="AD969" s="2">
        <v>2</v>
      </c>
      <c r="AE969" s="2" t="s">
        <v>0</v>
      </c>
      <c r="AF969" s="2">
        <v>2</v>
      </c>
      <c r="AG969" s="2" t="s">
        <v>0</v>
      </c>
    </row>
    <row r="970" spans="1:33" ht="76.5" x14ac:dyDescent="0.2">
      <c r="A970" s="5" t="str">
        <f>HYPERLINK("http://www.patentics.cn/invokexml.do?sf=ShowPatent&amp;spn=US9232478&amp;sv=34055bb91744a335958aa83c267498fc","US9232478")</f>
        <v>US9232478</v>
      </c>
      <c r="B970" s="3" t="s">
        <v>4475</v>
      </c>
      <c r="C970" s="3" t="s">
        <v>4476</v>
      </c>
      <c r="D970" s="3" t="s">
        <v>52</v>
      </c>
      <c r="E970" s="3" t="s">
        <v>52</v>
      </c>
      <c r="F970" s="3" t="s">
        <v>4477</v>
      </c>
      <c r="G970" s="3" t="s">
        <v>4478</v>
      </c>
      <c r="H970" s="3" t="s">
        <v>4479</v>
      </c>
      <c r="I970" s="3" t="s">
        <v>4480</v>
      </c>
      <c r="J970" s="3" t="s">
        <v>4481</v>
      </c>
      <c r="K970" s="3" t="s">
        <v>58</v>
      </c>
      <c r="L970" s="3" t="s">
        <v>613</v>
      </c>
      <c r="M970" s="3" t="s">
        <v>82</v>
      </c>
      <c r="N970" s="3" t="s">
        <v>4482</v>
      </c>
      <c r="O970" s="3">
        <v>0</v>
      </c>
      <c r="P970" s="3">
        <v>14</v>
      </c>
      <c r="Q970" s="3" t="s">
        <v>60</v>
      </c>
      <c r="R970" s="3" t="s">
        <v>61</v>
      </c>
      <c r="S970" s="3">
        <v>12</v>
      </c>
      <c r="T970" s="3">
        <v>2</v>
      </c>
      <c r="U970" s="3">
        <v>10</v>
      </c>
      <c r="V970" s="3">
        <v>7</v>
      </c>
      <c r="W970" s="3">
        <v>0</v>
      </c>
      <c r="X970" s="3" t="s">
        <v>147</v>
      </c>
      <c r="Y970" s="3">
        <v>0</v>
      </c>
      <c r="Z970" s="3">
        <v>0</v>
      </c>
      <c r="AA970" s="3">
        <v>0</v>
      </c>
      <c r="AB970" s="3">
        <v>0</v>
      </c>
      <c r="AC970" s="3">
        <v>8</v>
      </c>
      <c r="AD970" s="3">
        <v>8</v>
      </c>
      <c r="AE970" s="3">
        <v>14</v>
      </c>
      <c r="AF970" s="3" t="s">
        <v>0</v>
      </c>
      <c r="AG970" s="3" t="s">
        <v>49</v>
      </c>
    </row>
    <row r="971" spans="1:33" ht="76.5" x14ac:dyDescent="0.2">
      <c r="A971" s="5" t="str">
        <f>HYPERLINK("http://www.patentics.cn/invokexml.do?sf=ShowPatent&amp;spn=WO2013131006&amp;sv=77a229095228914eb3af5f419a02f7a6","WO2013131006")</f>
        <v>WO2013131006</v>
      </c>
      <c r="B971" s="3" t="s">
        <v>4483</v>
      </c>
      <c r="C971" s="3" t="s">
        <v>4484</v>
      </c>
      <c r="D971" s="3" t="s">
        <v>52</v>
      </c>
      <c r="E971" s="3" t="s">
        <v>52</v>
      </c>
      <c r="F971" s="3" t="s">
        <v>4485</v>
      </c>
      <c r="G971" s="3" t="s">
        <v>4486</v>
      </c>
      <c r="H971" s="3" t="s">
        <v>4479</v>
      </c>
      <c r="I971" s="3" t="s">
        <v>4487</v>
      </c>
      <c r="J971" s="3" t="s">
        <v>738</v>
      </c>
      <c r="K971" s="3" t="s">
        <v>82</v>
      </c>
      <c r="L971" s="3" t="s">
        <v>3335</v>
      </c>
      <c r="M971" s="3" t="s">
        <v>0</v>
      </c>
      <c r="N971" s="3" t="s">
        <v>0</v>
      </c>
      <c r="O971" s="3">
        <v>42</v>
      </c>
      <c r="P971" s="3">
        <v>18</v>
      </c>
      <c r="Q971" s="3" t="s">
        <v>352</v>
      </c>
      <c r="R971" s="3" t="s">
        <v>61</v>
      </c>
      <c r="S971" s="3">
        <v>5</v>
      </c>
      <c r="T971" s="3">
        <v>1</v>
      </c>
      <c r="U971" s="3">
        <v>4</v>
      </c>
      <c r="V971" s="3">
        <v>4</v>
      </c>
      <c r="W971" s="3">
        <v>0</v>
      </c>
      <c r="X971" s="3" t="s">
        <v>147</v>
      </c>
      <c r="Y971" s="3">
        <v>0</v>
      </c>
      <c r="Z971" s="3">
        <v>0</v>
      </c>
      <c r="AA971" s="3">
        <v>0</v>
      </c>
      <c r="AB971" s="3">
        <v>0</v>
      </c>
      <c r="AC971" s="3">
        <v>8</v>
      </c>
      <c r="AD971" s="3">
        <v>8</v>
      </c>
      <c r="AE971" s="3">
        <v>14</v>
      </c>
      <c r="AF971" s="3" t="s">
        <v>0</v>
      </c>
      <c r="AG971" s="3" t="s">
        <v>0</v>
      </c>
    </row>
    <row r="972" spans="1:33" ht="51" x14ac:dyDescent="0.2">
      <c r="A972" s="4" t="str">
        <f>HYPERLINK("http://www.patentics.cn/invokexml.do?sf=ShowPatent&amp;spn=WO2011137695&amp;sv=107ef127021f2844b2e1726275d4af89","WO2011137695")</f>
        <v>WO2011137695</v>
      </c>
      <c r="B972" s="2" t="s">
        <v>4488</v>
      </c>
      <c r="C972" s="2" t="s">
        <v>4489</v>
      </c>
      <c r="D972" s="2" t="s">
        <v>1394</v>
      </c>
      <c r="E972" s="2" t="s">
        <v>1394</v>
      </c>
      <c r="F972" s="2" t="s">
        <v>4490</v>
      </c>
      <c r="G972" s="2" t="s">
        <v>4490</v>
      </c>
      <c r="H972" s="2" t="s">
        <v>3738</v>
      </c>
      <c r="I972" s="2" t="s">
        <v>4491</v>
      </c>
      <c r="J972" s="2" t="s">
        <v>4492</v>
      </c>
      <c r="K972" s="2" t="s">
        <v>82</v>
      </c>
      <c r="L972" s="2" t="s">
        <v>1490</v>
      </c>
      <c r="M972" s="2" t="s">
        <v>0</v>
      </c>
      <c r="N972" s="2" t="s">
        <v>0</v>
      </c>
      <c r="O972" s="2">
        <v>6</v>
      </c>
      <c r="P972" s="2">
        <v>8</v>
      </c>
      <c r="Q972" s="2" t="s">
        <v>352</v>
      </c>
      <c r="R972" s="2" t="s">
        <v>47</v>
      </c>
      <c r="S972" s="2">
        <v>3</v>
      </c>
      <c r="T972" s="2">
        <v>0</v>
      </c>
      <c r="U972" s="2">
        <v>3</v>
      </c>
      <c r="V972" s="2">
        <v>3</v>
      </c>
      <c r="W972" s="2">
        <v>2</v>
      </c>
      <c r="X972" s="2" t="s">
        <v>4375</v>
      </c>
      <c r="Y972" s="2">
        <v>0</v>
      </c>
      <c r="Z972" s="2">
        <v>2</v>
      </c>
      <c r="AA972" s="2">
        <v>1</v>
      </c>
      <c r="AB972" s="2">
        <v>2</v>
      </c>
      <c r="AC972" s="2">
        <v>1</v>
      </c>
      <c r="AD972" s="2">
        <v>2</v>
      </c>
      <c r="AE972" s="2" t="s">
        <v>0</v>
      </c>
      <c r="AF972" s="2">
        <v>2</v>
      </c>
      <c r="AG972" s="2" t="s">
        <v>0</v>
      </c>
    </row>
    <row r="973" spans="1:33" ht="102" x14ac:dyDescent="0.2">
      <c r="A973" s="5" t="str">
        <f>HYPERLINK("http://www.patentics.cn/invokexml.do?sf=ShowPatent&amp;spn=US9497102&amp;sv=d09ff11165dc03b5493e798892ab569a","US9497102")</f>
        <v>US9497102</v>
      </c>
      <c r="B973" s="3" t="s">
        <v>4493</v>
      </c>
      <c r="C973" s="3" t="s">
        <v>4494</v>
      </c>
      <c r="D973" s="3" t="s">
        <v>52</v>
      </c>
      <c r="E973" s="3" t="s">
        <v>52</v>
      </c>
      <c r="F973" s="3" t="s">
        <v>4495</v>
      </c>
      <c r="G973" s="3" t="s">
        <v>1410</v>
      </c>
      <c r="H973" s="3" t="s">
        <v>4496</v>
      </c>
      <c r="I973" s="3" t="s">
        <v>2394</v>
      </c>
      <c r="J973" s="3" t="s">
        <v>1677</v>
      </c>
      <c r="K973" s="3" t="s">
        <v>82</v>
      </c>
      <c r="L973" s="3" t="s">
        <v>4497</v>
      </c>
      <c r="M973" s="3" t="s">
        <v>58</v>
      </c>
      <c r="N973" s="3" t="s">
        <v>4498</v>
      </c>
      <c r="O973" s="3">
        <v>0</v>
      </c>
      <c r="P973" s="3">
        <v>15</v>
      </c>
      <c r="Q973" s="3" t="s">
        <v>60</v>
      </c>
      <c r="R973" s="3" t="s">
        <v>61</v>
      </c>
      <c r="S973" s="3">
        <v>21</v>
      </c>
      <c r="T973" s="3">
        <v>2</v>
      </c>
      <c r="U973" s="3">
        <v>19</v>
      </c>
      <c r="V973" s="3">
        <v>12</v>
      </c>
      <c r="W973" s="3">
        <v>0</v>
      </c>
      <c r="X973" s="3" t="s">
        <v>147</v>
      </c>
      <c r="Y973" s="3">
        <v>0</v>
      </c>
      <c r="Z973" s="3">
        <v>0</v>
      </c>
      <c r="AA973" s="3">
        <v>0</v>
      </c>
      <c r="AB973" s="3">
        <v>0</v>
      </c>
      <c r="AC973" s="3">
        <v>8</v>
      </c>
      <c r="AD973" s="3">
        <v>7</v>
      </c>
      <c r="AE973" s="3">
        <v>14</v>
      </c>
      <c r="AF973" s="3" t="s">
        <v>0</v>
      </c>
      <c r="AG973" s="3" t="s">
        <v>49</v>
      </c>
    </row>
    <row r="974" spans="1:33" ht="140.25" x14ac:dyDescent="0.2">
      <c r="A974" s="5" t="str">
        <f>HYPERLINK("http://www.patentics.cn/invokexml.do?sf=ShowPatent&amp;spn=WO2013086223&amp;sv=206df1fb1b26afab68fa38c50ac55c0d","WO2013086223")</f>
        <v>WO2013086223</v>
      </c>
      <c r="B974" s="3" t="s">
        <v>4499</v>
      </c>
      <c r="C974" s="3" t="s">
        <v>4494</v>
      </c>
      <c r="D974" s="3" t="s">
        <v>52</v>
      </c>
      <c r="E974" s="3" t="s">
        <v>52</v>
      </c>
      <c r="F974" s="3" t="s">
        <v>4500</v>
      </c>
      <c r="G974" s="3" t="s">
        <v>1426</v>
      </c>
      <c r="H974" s="3" t="s">
        <v>4496</v>
      </c>
      <c r="I974" s="3" t="s">
        <v>4501</v>
      </c>
      <c r="J974" s="3" t="s">
        <v>1886</v>
      </c>
      <c r="K974" s="3" t="s">
        <v>82</v>
      </c>
      <c r="L974" s="3" t="s">
        <v>83</v>
      </c>
      <c r="M974" s="3" t="s">
        <v>0</v>
      </c>
      <c r="N974" s="3" t="s">
        <v>0</v>
      </c>
      <c r="O974" s="3">
        <v>121</v>
      </c>
      <c r="P974" s="3">
        <v>10</v>
      </c>
      <c r="Q974" s="3" t="s">
        <v>352</v>
      </c>
      <c r="R974" s="3" t="s">
        <v>61</v>
      </c>
      <c r="S974" s="3">
        <v>2</v>
      </c>
      <c r="T974" s="3">
        <v>0</v>
      </c>
      <c r="U974" s="3">
        <v>2</v>
      </c>
      <c r="V974" s="3">
        <v>2</v>
      </c>
      <c r="W974" s="3">
        <v>0</v>
      </c>
      <c r="X974" s="3" t="s">
        <v>147</v>
      </c>
      <c r="Y974" s="3">
        <v>0</v>
      </c>
      <c r="Z974" s="3">
        <v>0</v>
      </c>
      <c r="AA974" s="3">
        <v>0</v>
      </c>
      <c r="AB974" s="3">
        <v>0</v>
      </c>
      <c r="AC974" s="3">
        <v>8</v>
      </c>
      <c r="AD974" s="3">
        <v>7</v>
      </c>
      <c r="AE974" s="3">
        <v>14</v>
      </c>
      <c r="AF974" s="3" t="s">
        <v>0</v>
      </c>
      <c r="AG974" s="3" t="s">
        <v>0</v>
      </c>
    </row>
    <row r="975" spans="1:33" ht="51" x14ac:dyDescent="0.2">
      <c r="A975" s="4" t="str">
        <f>HYPERLINK("http://www.patentics.cn/invokexml.do?sf=ShowPatent&amp;spn=WO2011120383&amp;sv=a7d6d2b0c380977dcdf0ffdc9bcbcced","WO2011120383")</f>
        <v>WO2011120383</v>
      </c>
      <c r="B975" s="2" t="s">
        <v>4502</v>
      </c>
      <c r="C975" s="2" t="s">
        <v>4503</v>
      </c>
      <c r="D975" s="2" t="s">
        <v>4504</v>
      </c>
      <c r="E975" s="2" t="s">
        <v>4504</v>
      </c>
      <c r="F975" s="2" t="s">
        <v>4505</v>
      </c>
      <c r="G975" s="2" t="s">
        <v>4506</v>
      </c>
      <c r="H975" s="2" t="s">
        <v>4507</v>
      </c>
      <c r="I975" s="2" t="s">
        <v>2452</v>
      </c>
      <c r="J975" s="2" t="s">
        <v>910</v>
      </c>
      <c r="K975" s="2" t="s">
        <v>58</v>
      </c>
      <c r="L975" s="2" t="s">
        <v>4508</v>
      </c>
      <c r="M975" s="2" t="s">
        <v>0</v>
      </c>
      <c r="N975" s="2" t="s">
        <v>0</v>
      </c>
      <c r="O975" s="2">
        <v>9</v>
      </c>
      <c r="P975" s="2">
        <v>8</v>
      </c>
      <c r="Q975" s="2" t="s">
        <v>352</v>
      </c>
      <c r="R975" s="2" t="s">
        <v>47</v>
      </c>
      <c r="S975" s="2">
        <v>3</v>
      </c>
      <c r="T975" s="2">
        <v>2</v>
      </c>
      <c r="U975" s="2">
        <v>1</v>
      </c>
      <c r="V975" s="2">
        <v>2</v>
      </c>
      <c r="W975" s="2">
        <v>2</v>
      </c>
      <c r="X975" s="2" t="s">
        <v>4509</v>
      </c>
      <c r="Y975" s="2">
        <v>0</v>
      </c>
      <c r="Z975" s="2">
        <v>2</v>
      </c>
      <c r="AA975" s="2">
        <v>1</v>
      </c>
      <c r="AB975" s="2">
        <v>2</v>
      </c>
      <c r="AC975" s="2">
        <v>4</v>
      </c>
      <c r="AD975" s="2">
        <v>4</v>
      </c>
      <c r="AE975" s="2" t="s">
        <v>0</v>
      </c>
      <c r="AF975" s="2">
        <v>2</v>
      </c>
      <c r="AG975" s="2" t="s">
        <v>0</v>
      </c>
    </row>
    <row r="976" spans="1:33" ht="280.5" x14ac:dyDescent="0.2">
      <c r="A976" s="5" t="str">
        <f>HYPERLINK("http://www.patentics.cn/invokexml.do?sf=ShowPatent&amp;spn=US9191842&amp;sv=b267d190840f710cb840d2bf4b06182a","US9191842")</f>
        <v>US9191842</v>
      </c>
      <c r="B976" s="3" t="s">
        <v>4510</v>
      </c>
      <c r="C976" s="3" t="s">
        <v>4511</v>
      </c>
      <c r="D976" s="3" t="s">
        <v>52</v>
      </c>
      <c r="E976" s="3" t="s">
        <v>52</v>
      </c>
      <c r="F976" s="3" t="s">
        <v>4512</v>
      </c>
      <c r="G976" s="3" t="s">
        <v>4196</v>
      </c>
      <c r="H976" s="3" t="s">
        <v>4513</v>
      </c>
      <c r="I976" s="3" t="s">
        <v>4514</v>
      </c>
      <c r="J976" s="3" t="s">
        <v>612</v>
      </c>
      <c r="K976" s="3" t="s">
        <v>82</v>
      </c>
      <c r="L976" s="3" t="s">
        <v>835</v>
      </c>
      <c r="M976" s="3" t="s">
        <v>82</v>
      </c>
      <c r="N976" s="3" t="s">
        <v>772</v>
      </c>
      <c r="O976" s="3">
        <v>0</v>
      </c>
      <c r="P976" s="3">
        <v>12</v>
      </c>
      <c r="Q976" s="3" t="s">
        <v>60</v>
      </c>
      <c r="R976" s="3" t="s">
        <v>61</v>
      </c>
      <c r="S976" s="3">
        <v>9</v>
      </c>
      <c r="T976" s="3">
        <v>0</v>
      </c>
      <c r="U976" s="3">
        <v>9</v>
      </c>
      <c r="V976" s="3">
        <v>7</v>
      </c>
      <c r="W976" s="3">
        <v>0</v>
      </c>
      <c r="X976" s="3" t="s">
        <v>147</v>
      </c>
      <c r="Y976" s="3">
        <v>0</v>
      </c>
      <c r="Z976" s="3">
        <v>0</v>
      </c>
      <c r="AA976" s="3">
        <v>0</v>
      </c>
      <c r="AB976" s="3">
        <v>0</v>
      </c>
      <c r="AC976" s="3">
        <v>2</v>
      </c>
      <c r="AD976" s="3">
        <v>2</v>
      </c>
      <c r="AE976" s="3">
        <v>14</v>
      </c>
      <c r="AF976" s="3" t="s">
        <v>0</v>
      </c>
      <c r="AG976" s="3" t="s">
        <v>49</v>
      </c>
    </row>
    <row r="977" spans="1:33" ht="267.75" x14ac:dyDescent="0.2">
      <c r="A977" s="5" t="str">
        <f>HYPERLINK("http://www.patentics.cn/invokexml.do?sf=ShowPatent&amp;spn=WO2014014830&amp;sv=c72cb5afbfe1507bbec370ef3daa9d33","WO2014014830")</f>
        <v>WO2014014830</v>
      </c>
      <c r="B977" s="3" t="s">
        <v>4515</v>
      </c>
      <c r="C977" s="3" t="s">
        <v>4516</v>
      </c>
      <c r="D977" s="3" t="s">
        <v>52</v>
      </c>
      <c r="E977" s="3" t="s">
        <v>52</v>
      </c>
      <c r="F977" s="3" t="s">
        <v>4517</v>
      </c>
      <c r="G977" s="3" t="s">
        <v>4518</v>
      </c>
      <c r="H977" s="3" t="s">
        <v>4513</v>
      </c>
      <c r="I977" s="3" t="s">
        <v>4519</v>
      </c>
      <c r="J977" s="3" t="s">
        <v>4006</v>
      </c>
      <c r="K977" s="3" t="s">
        <v>82</v>
      </c>
      <c r="L977" s="3" t="s">
        <v>2215</v>
      </c>
      <c r="M977" s="3" t="s">
        <v>0</v>
      </c>
      <c r="N977" s="3" t="s">
        <v>0</v>
      </c>
      <c r="O977" s="3">
        <v>42</v>
      </c>
      <c r="P977" s="3">
        <v>13</v>
      </c>
      <c r="Q977" s="3" t="s">
        <v>352</v>
      </c>
      <c r="R977" s="3" t="s">
        <v>61</v>
      </c>
      <c r="S977" s="3">
        <v>2</v>
      </c>
      <c r="T977" s="3">
        <v>0</v>
      </c>
      <c r="U977" s="3">
        <v>2</v>
      </c>
      <c r="V977" s="3">
        <v>1</v>
      </c>
      <c r="W977" s="3">
        <v>0</v>
      </c>
      <c r="X977" s="3" t="s">
        <v>147</v>
      </c>
      <c r="Y977" s="3">
        <v>0</v>
      </c>
      <c r="Z977" s="3">
        <v>0</v>
      </c>
      <c r="AA977" s="3">
        <v>0</v>
      </c>
      <c r="AB977" s="3">
        <v>0</v>
      </c>
      <c r="AC977" s="3">
        <v>2</v>
      </c>
      <c r="AD977" s="3">
        <v>2</v>
      </c>
      <c r="AE977" s="3">
        <v>14</v>
      </c>
      <c r="AF977" s="3" t="s">
        <v>0</v>
      </c>
      <c r="AG977" s="3" t="s">
        <v>0</v>
      </c>
    </row>
    <row r="978" spans="1:33" ht="51" x14ac:dyDescent="0.2">
      <c r="A978" s="4" t="str">
        <f>HYPERLINK("http://www.patentics.cn/invokexml.do?sf=ShowPatent&amp;spn=WO2011097856&amp;sv=911eff41c4a5b66161445ab1ac12bf8d","WO2011097856")</f>
        <v>WO2011097856</v>
      </c>
      <c r="B978" s="2" t="s">
        <v>4520</v>
      </c>
      <c r="C978" s="2" t="s">
        <v>4521</v>
      </c>
      <c r="D978" s="2" t="s">
        <v>1394</v>
      </c>
      <c r="E978" s="2" t="s">
        <v>1394</v>
      </c>
      <c r="F978" s="2" t="s">
        <v>4522</v>
      </c>
      <c r="G978" s="2" t="s">
        <v>4522</v>
      </c>
      <c r="H978" s="2" t="s">
        <v>2296</v>
      </c>
      <c r="I978" s="2" t="s">
        <v>4523</v>
      </c>
      <c r="J978" s="2" t="s">
        <v>4524</v>
      </c>
      <c r="K978" s="2" t="s">
        <v>82</v>
      </c>
      <c r="L978" s="2" t="s">
        <v>1767</v>
      </c>
      <c r="M978" s="2" t="s">
        <v>0</v>
      </c>
      <c r="N978" s="2" t="s">
        <v>0</v>
      </c>
      <c r="O978" s="2">
        <v>8</v>
      </c>
      <c r="P978" s="2">
        <v>17</v>
      </c>
      <c r="Q978" s="2" t="s">
        <v>352</v>
      </c>
      <c r="R978" s="2" t="s">
        <v>47</v>
      </c>
      <c r="S978" s="2">
        <v>3</v>
      </c>
      <c r="T978" s="2">
        <v>0</v>
      </c>
      <c r="U978" s="2">
        <v>3</v>
      </c>
      <c r="V978" s="2">
        <v>3</v>
      </c>
      <c r="W978" s="2">
        <v>8</v>
      </c>
      <c r="X978" s="2" t="s">
        <v>2612</v>
      </c>
      <c r="Y978" s="2">
        <v>0</v>
      </c>
      <c r="Z978" s="2">
        <v>8</v>
      </c>
      <c r="AA978" s="2">
        <v>1</v>
      </c>
      <c r="AB978" s="2">
        <v>3</v>
      </c>
      <c r="AC978" s="2">
        <v>7</v>
      </c>
      <c r="AD978" s="2">
        <v>4</v>
      </c>
      <c r="AE978" s="2" t="s">
        <v>0</v>
      </c>
      <c r="AF978" s="2">
        <v>2</v>
      </c>
      <c r="AG978" s="2" t="s">
        <v>0</v>
      </c>
    </row>
    <row r="979" spans="1:33" ht="204" x14ac:dyDescent="0.2">
      <c r="A979" s="5" t="str">
        <f>HYPERLINK("http://www.patentics.cn/invokexml.do?sf=ShowPatent&amp;spn=US9294989&amp;sv=ada51e0701769bf2414ba20cca5746ac","US9294989")</f>
        <v>US9294989</v>
      </c>
      <c r="B979" s="3" t="s">
        <v>4525</v>
      </c>
      <c r="C979" s="3" t="s">
        <v>4526</v>
      </c>
      <c r="D979" s="3" t="s">
        <v>52</v>
      </c>
      <c r="E979" s="3" t="s">
        <v>52</v>
      </c>
      <c r="F979" s="3" t="s">
        <v>4527</v>
      </c>
      <c r="G979" s="3" t="s">
        <v>4528</v>
      </c>
      <c r="H979" s="3" t="s">
        <v>4473</v>
      </c>
      <c r="I979" s="3" t="s">
        <v>4473</v>
      </c>
      <c r="J979" s="3" t="s">
        <v>696</v>
      </c>
      <c r="K979" s="3" t="s">
        <v>82</v>
      </c>
      <c r="L979" s="3" t="s">
        <v>3335</v>
      </c>
      <c r="M979" s="3" t="s">
        <v>82</v>
      </c>
      <c r="N979" s="3" t="s">
        <v>807</v>
      </c>
      <c r="O979" s="3">
        <v>0</v>
      </c>
      <c r="P979" s="3">
        <v>10</v>
      </c>
      <c r="Q979" s="3" t="s">
        <v>60</v>
      </c>
      <c r="R979" s="3" t="s">
        <v>61</v>
      </c>
      <c r="S979" s="3">
        <v>14</v>
      </c>
      <c r="T979" s="3">
        <v>0</v>
      </c>
      <c r="U979" s="3">
        <v>14</v>
      </c>
      <c r="V979" s="3">
        <v>7</v>
      </c>
      <c r="W979" s="3">
        <v>0</v>
      </c>
      <c r="X979" s="3" t="s">
        <v>147</v>
      </c>
      <c r="Y979" s="3">
        <v>0</v>
      </c>
      <c r="Z979" s="3">
        <v>0</v>
      </c>
      <c r="AA979" s="3">
        <v>0</v>
      </c>
      <c r="AB979" s="3">
        <v>0</v>
      </c>
      <c r="AC979" s="3">
        <v>7</v>
      </c>
      <c r="AD979" s="3">
        <v>7</v>
      </c>
      <c r="AE979" s="3">
        <v>14</v>
      </c>
      <c r="AF979" s="3" t="s">
        <v>0</v>
      </c>
      <c r="AG979" s="3" t="s">
        <v>49</v>
      </c>
    </row>
    <row r="980" spans="1:33" ht="242.25" x14ac:dyDescent="0.2">
      <c r="A980" s="5" t="str">
        <f>HYPERLINK("http://www.patentics.cn/invokexml.do?sf=ShowPatent&amp;spn=WO2013081866&amp;sv=075c7ca01ecf233f95f47ce37f809ba0","WO2013081866")</f>
        <v>WO2013081866</v>
      </c>
      <c r="B980" s="3" t="s">
        <v>4529</v>
      </c>
      <c r="C980" s="3" t="s">
        <v>4530</v>
      </c>
      <c r="D980" s="3" t="s">
        <v>52</v>
      </c>
      <c r="E980" s="3" t="s">
        <v>52</v>
      </c>
      <c r="F980" s="3" t="s">
        <v>4531</v>
      </c>
      <c r="G980" s="3" t="s">
        <v>4532</v>
      </c>
      <c r="H980" s="3" t="s">
        <v>4473</v>
      </c>
      <c r="I980" s="3" t="s">
        <v>4230</v>
      </c>
      <c r="J980" s="3" t="s">
        <v>4533</v>
      </c>
      <c r="K980" s="3" t="s">
        <v>82</v>
      </c>
      <c r="L980" s="3" t="s">
        <v>226</v>
      </c>
      <c r="M980" s="3" t="s">
        <v>0</v>
      </c>
      <c r="N980" s="3" t="s">
        <v>0</v>
      </c>
      <c r="O980" s="3">
        <v>44</v>
      </c>
      <c r="P980" s="3">
        <v>6</v>
      </c>
      <c r="Q980" s="3" t="s">
        <v>352</v>
      </c>
      <c r="R980" s="3" t="s">
        <v>61</v>
      </c>
      <c r="S980" s="3">
        <v>2</v>
      </c>
      <c r="T980" s="3">
        <v>0</v>
      </c>
      <c r="U980" s="3">
        <v>2</v>
      </c>
      <c r="V980" s="3">
        <v>1</v>
      </c>
      <c r="W980" s="3">
        <v>0</v>
      </c>
      <c r="X980" s="3" t="s">
        <v>147</v>
      </c>
      <c r="Y980" s="3">
        <v>0</v>
      </c>
      <c r="Z980" s="3">
        <v>0</v>
      </c>
      <c r="AA980" s="3">
        <v>0</v>
      </c>
      <c r="AB980" s="3">
        <v>0</v>
      </c>
      <c r="AC980" s="3">
        <v>7</v>
      </c>
      <c r="AD980" s="3">
        <v>7</v>
      </c>
      <c r="AE980" s="3">
        <v>14</v>
      </c>
      <c r="AF980" s="3" t="s">
        <v>0</v>
      </c>
      <c r="AG980" s="3" t="s">
        <v>0</v>
      </c>
    </row>
    <row r="981" spans="1:33" ht="51" x14ac:dyDescent="0.2">
      <c r="A981" s="4" t="str">
        <f>HYPERLINK("http://www.patentics.cn/invokexml.do?sf=ShowPatent&amp;spn=WO2011097855&amp;sv=b73d104e3e9dd0341b3fd7cd514c012b","WO2011097855")</f>
        <v>WO2011097855</v>
      </c>
      <c r="B981" s="2" t="s">
        <v>4534</v>
      </c>
      <c r="C981" s="2" t="s">
        <v>4535</v>
      </c>
      <c r="D981" s="2" t="s">
        <v>1394</v>
      </c>
      <c r="E981" s="2" t="s">
        <v>1394</v>
      </c>
      <c r="F981" s="2" t="s">
        <v>4522</v>
      </c>
      <c r="G981" s="2" t="s">
        <v>4522</v>
      </c>
      <c r="H981" s="2" t="s">
        <v>2296</v>
      </c>
      <c r="I981" s="2" t="s">
        <v>4523</v>
      </c>
      <c r="J981" s="2" t="s">
        <v>4524</v>
      </c>
      <c r="K981" s="2" t="s">
        <v>82</v>
      </c>
      <c r="L981" s="2" t="s">
        <v>1767</v>
      </c>
      <c r="M981" s="2" t="s">
        <v>0</v>
      </c>
      <c r="N981" s="2" t="s">
        <v>0</v>
      </c>
      <c r="O981" s="2">
        <v>9</v>
      </c>
      <c r="P981" s="2">
        <v>11</v>
      </c>
      <c r="Q981" s="2" t="s">
        <v>352</v>
      </c>
      <c r="R981" s="2" t="s">
        <v>47</v>
      </c>
      <c r="S981" s="2">
        <v>3</v>
      </c>
      <c r="T981" s="2">
        <v>0</v>
      </c>
      <c r="U981" s="2">
        <v>3</v>
      </c>
      <c r="V981" s="2">
        <v>2</v>
      </c>
      <c r="W981" s="2">
        <v>8</v>
      </c>
      <c r="X981" s="2" t="s">
        <v>2945</v>
      </c>
      <c r="Y981" s="2">
        <v>0</v>
      </c>
      <c r="Z981" s="2">
        <v>8</v>
      </c>
      <c r="AA981" s="2">
        <v>1</v>
      </c>
      <c r="AB981" s="2">
        <v>3</v>
      </c>
      <c r="AC981" s="2">
        <v>5</v>
      </c>
      <c r="AD981" s="2">
        <v>4</v>
      </c>
      <c r="AE981" s="2" t="s">
        <v>0</v>
      </c>
      <c r="AF981" s="2">
        <v>2</v>
      </c>
      <c r="AG981" s="2" t="s">
        <v>0</v>
      </c>
    </row>
    <row r="982" spans="1:33" ht="280.5" x14ac:dyDescent="0.2">
      <c r="A982" s="5" t="str">
        <f>HYPERLINK("http://www.patentics.cn/invokexml.do?sf=ShowPatent&amp;spn=US9191842&amp;sv=b267d190840f710cb840d2bf4b06182a","US9191842")</f>
        <v>US9191842</v>
      </c>
      <c r="B982" s="3" t="s">
        <v>4510</v>
      </c>
      <c r="C982" s="3" t="s">
        <v>4511</v>
      </c>
      <c r="D982" s="3" t="s">
        <v>52</v>
      </c>
      <c r="E982" s="3" t="s">
        <v>52</v>
      </c>
      <c r="F982" s="3" t="s">
        <v>4512</v>
      </c>
      <c r="G982" s="3" t="s">
        <v>4196</v>
      </c>
      <c r="H982" s="3" t="s">
        <v>4513</v>
      </c>
      <c r="I982" s="3" t="s">
        <v>4514</v>
      </c>
      <c r="J982" s="3" t="s">
        <v>612</v>
      </c>
      <c r="K982" s="3" t="s">
        <v>82</v>
      </c>
      <c r="L982" s="3" t="s">
        <v>835</v>
      </c>
      <c r="M982" s="3" t="s">
        <v>82</v>
      </c>
      <c r="N982" s="3" t="s">
        <v>772</v>
      </c>
      <c r="O982" s="3">
        <v>0</v>
      </c>
      <c r="P982" s="3">
        <v>12</v>
      </c>
      <c r="Q982" s="3" t="s">
        <v>60</v>
      </c>
      <c r="R982" s="3" t="s">
        <v>61</v>
      </c>
      <c r="S982" s="3">
        <v>9</v>
      </c>
      <c r="T982" s="3">
        <v>0</v>
      </c>
      <c r="U982" s="3">
        <v>9</v>
      </c>
      <c r="V982" s="3">
        <v>7</v>
      </c>
      <c r="W982" s="3">
        <v>0</v>
      </c>
      <c r="X982" s="3" t="s">
        <v>147</v>
      </c>
      <c r="Y982" s="3">
        <v>0</v>
      </c>
      <c r="Z982" s="3">
        <v>0</v>
      </c>
      <c r="AA982" s="3">
        <v>0</v>
      </c>
      <c r="AB982" s="3">
        <v>0</v>
      </c>
      <c r="AC982" s="3">
        <v>2</v>
      </c>
      <c r="AD982" s="3">
        <v>2</v>
      </c>
      <c r="AE982" s="3">
        <v>14</v>
      </c>
      <c r="AF982" s="3" t="s">
        <v>0</v>
      </c>
      <c r="AG982" s="3" t="s">
        <v>49</v>
      </c>
    </row>
    <row r="983" spans="1:33" ht="267.75" x14ac:dyDescent="0.2">
      <c r="A983" s="5" t="str">
        <f>HYPERLINK("http://www.patentics.cn/invokexml.do?sf=ShowPatent&amp;spn=WO2014014830&amp;sv=c72cb5afbfe1507bbec370ef3daa9d33","WO2014014830")</f>
        <v>WO2014014830</v>
      </c>
      <c r="B983" s="3" t="s">
        <v>4515</v>
      </c>
      <c r="C983" s="3" t="s">
        <v>4516</v>
      </c>
      <c r="D983" s="3" t="s">
        <v>52</v>
      </c>
      <c r="E983" s="3" t="s">
        <v>52</v>
      </c>
      <c r="F983" s="3" t="s">
        <v>4517</v>
      </c>
      <c r="G983" s="3" t="s">
        <v>4518</v>
      </c>
      <c r="H983" s="3" t="s">
        <v>4513</v>
      </c>
      <c r="I983" s="3" t="s">
        <v>4519</v>
      </c>
      <c r="J983" s="3" t="s">
        <v>4006</v>
      </c>
      <c r="K983" s="3" t="s">
        <v>82</v>
      </c>
      <c r="L983" s="3" t="s">
        <v>2215</v>
      </c>
      <c r="M983" s="3" t="s">
        <v>0</v>
      </c>
      <c r="N983" s="3" t="s">
        <v>0</v>
      </c>
      <c r="O983" s="3">
        <v>42</v>
      </c>
      <c r="P983" s="3">
        <v>13</v>
      </c>
      <c r="Q983" s="3" t="s">
        <v>352</v>
      </c>
      <c r="R983" s="3" t="s">
        <v>61</v>
      </c>
      <c r="S983" s="3">
        <v>2</v>
      </c>
      <c r="T983" s="3">
        <v>0</v>
      </c>
      <c r="U983" s="3">
        <v>2</v>
      </c>
      <c r="V983" s="3">
        <v>1</v>
      </c>
      <c r="W983" s="3">
        <v>0</v>
      </c>
      <c r="X983" s="3" t="s">
        <v>147</v>
      </c>
      <c r="Y983" s="3">
        <v>0</v>
      </c>
      <c r="Z983" s="3">
        <v>0</v>
      </c>
      <c r="AA983" s="3">
        <v>0</v>
      </c>
      <c r="AB983" s="3">
        <v>0</v>
      </c>
      <c r="AC983" s="3">
        <v>2</v>
      </c>
      <c r="AD983" s="3">
        <v>2</v>
      </c>
      <c r="AE983" s="3">
        <v>14</v>
      </c>
      <c r="AF983" s="3" t="s">
        <v>0</v>
      </c>
      <c r="AG983" s="3" t="s">
        <v>0</v>
      </c>
    </row>
    <row r="984" spans="1:33" ht="51" x14ac:dyDescent="0.2">
      <c r="A984" s="4" t="str">
        <f>HYPERLINK("http://www.patentics.cn/invokexml.do?sf=ShowPatent&amp;spn=WO2011047589&amp;sv=ed192c8afa5e33df7712429e59f53d8b","WO2011047589")</f>
        <v>WO2011047589</v>
      </c>
      <c r="B984" s="2" t="s">
        <v>4536</v>
      </c>
      <c r="C984" s="2" t="s">
        <v>4537</v>
      </c>
      <c r="D984" s="2" t="s">
        <v>4538</v>
      </c>
      <c r="E984" s="2" t="s">
        <v>4538</v>
      </c>
      <c r="F984" s="2" t="s">
        <v>4539</v>
      </c>
      <c r="G984" s="2" t="s">
        <v>4540</v>
      </c>
      <c r="H984" s="2" t="s">
        <v>4541</v>
      </c>
      <c r="I984" s="2" t="s">
        <v>616</v>
      </c>
      <c r="J984" s="2" t="s">
        <v>1748</v>
      </c>
      <c r="K984" s="2" t="s">
        <v>82</v>
      </c>
      <c r="L984" s="2" t="s">
        <v>244</v>
      </c>
      <c r="M984" s="2" t="s">
        <v>0</v>
      </c>
      <c r="N984" s="2" t="s">
        <v>0</v>
      </c>
      <c r="O984" s="2">
        <v>12</v>
      </c>
      <c r="P984" s="2">
        <v>18</v>
      </c>
      <c r="Q984" s="2" t="s">
        <v>352</v>
      </c>
      <c r="R984" s="2" t="s">
        <v>47</v>
      </c>
      <c r="S984" s="2">
        <v>5</v>
      </c>
      <c r="T984" s="2">
        <v>1</v>
      </c>
      <c r="U984" s="2">
        <v>4</v>
      </c>
      <c r="V984" s="2">
        <v>4</v>
      </c>
      <c r="W984" s="2">
        <v>2</v>
      </c>
      <c r="X984" s="2" t="s">
        <v>1929</v>
      </c>
      <c r="Y984" s="2">
        <v>0</v>
      </c>
      <c r="Z984" s="2">
        <v>2</v>
      </c>
      <c r="AA984" s="2">
        <v>1</v>
      </c>
      <c r="AB984" s="2">
        <v>2</v>
      </c>
      <c r="AC984" s="2">
        <v>2</v>
      </c>
      <c r="AD984" s="2">
        <v>2</v>
      </c>
      <c r="AE984" s="2" t="s">
        <v>0</v>
      </c>
      <c r="AF984" s="2">
        <v>2</v>
      </c>
      <c r="AG984" s="2" t="s">
        <v>0</v>
      </c>
    </row>
    <row r="985" spans="1:33" ht="38.25" x14ac:dyDescent="0.2">
      <c r="A985" s="5" t="str">
        <f>HYPERLINK("http://www.patentics.cn/invokexml.do?sf=ShowPatent&amp;spn=US9426718&amp;sv=bf6de63e7e2379858a234889454dab23","US9426718")</f>
        <v>US9426718</v>
      </c>
      <c r="B985" s="3" t="s">
        <v>4542</v>
      </c>
      <c r="C985" s="3" t="s">
        <v>4543</v>
      </c>
      <c r="D985" s="3" t="s">
        <v>52</v>
      </c>
      <c r="E985" s="3" t="s">
        <v>52</v>
      </c>
      <c r="F985" s="3" t="s">
        <v>4544</v>
      </c>
      <c r="G985" s="3" t="s">
        <v>1410</v>
      </c>
      <c r="H985" s="3" t="s">
        <v>4545</v>
      </c>
      <c r="I985" s="3" t="s">
        <v>316</v>
      </c>
      <c r="J985" s="3" t="s">
        <v>325</v>
      </c>
      <c r="K985" s="3" t="s">
        <v>82</v>
      </c>
      <c r="L985" s="3" t="s">
        <v>4546</v>
      </c>
      <c r="M985" s="3" t="s">
        <v>82</v>
      </c>
      <c r="N985" s="3" t="s">
        <v>4341</v>
      </c>
      <c r="O985" s="3">
        <v>0</v>
      </c>
      <c r="P985" s="3">
        <v>19</v>
      </c>
      <c r="Q985" s="3" t="s">
        <v>60</v>
      </c>
      <c r="R985" s="3" t="s">
        <v>61</v>
      </c>
      <c r="S985" s="3">
        <v>32</v>
      </c>
      <c r="T985" s="3">
        <v>3</v>
      </c>
      <c r="U985" s="3">
        <v>29</v>
      </c>
      <c r="V985" s="3">
        <v>19</v>
      </c>
      <c r="W985" s="3">
        <v>0</v>
      </c>
      <c r="X985" s="3" t="s">
        <v>147</v>
      </c>
      <c r="Y985" s="3">
        <v>0</v>
      </c>
      <c r="Z985" s="3">
        <v>0</v>
      </c>
      <c r="AA985" s="3">
        <v>0</v>
      </c>
      <c r="AB985" s="3">
        <v>0</v>
      </c>
      <c r="AC985" s="3">
        <v>2</v>
      </c>
      <c r="AD985" s="3">
        <v>2</v>
      </c>
      <c r="AE985" s="3">
        <v>14</v>
      </c>
      <c r="AF985" s="3" t="s">
        <v>0</v>
      </c>
      <c r="AG985" s="3" t="s">
        <v>49</v>
      </c>
    </row>
    <row r="986" spans="1:33" ht="38.25" x14ac:dyDescent="0.2">
      <c r="A986" s="5" t="str">
        <f>HYPERLINK("http://www.patentics.cn/invokexml.do?sf=ShowPatent&amp;spn=WO2013173247&amp;sv=e078715d8baddbf7a511d26ae5a70339","WO2013173247")</f>
        <v>WO2013173247</v>
      </c>
      <c r="B986" s="3" t="s">
        <v>4547</v>
      </c>
      <c r="C986" s="3" t="s">
        <v>4543</v>
      </c>
      <c r="D986" s="3" t="s">
        <v>52</v>
      </c>
      <c r="E986" s="3" t="s">
        <v>52</v>
      </c>
      <c r="F986" s="3" t="s">
        <v>4548</v>
      </c>
      <c r="G986" s="3" t="s">
        <v>4549</v>
      </c>
      <c r="H986" s="3" t="s">
        <v>4545</v>
      </c>
      <c r="I986" s="3" t="s">
        <v>4550</v>
      </c>
      <c r="J986" s="3" t="s">
        <v>4551</v>
      </c>
      <c r="K986" s="3" t="s">
        <v>82</v>
      </c>
      <c r="L986" s="3" t="s">
        <v>2015</v>
      </c>
      <c r="M986" s="3" t="s">
        <v>0</v>
      </c>
      <c r="N986" s="3" t="s">
        <v>0</v>
      </c>
      <c r="O986" s="3">
        <v>43</v>
      </c>
      <c r="P986" s="3">
        <v>7</v>
      </c>
      <c r="Q986" s="3" t="s">
        <v>352</v>
      </c>
      <c r="R986" s="3" t="s">
        <v>61</v>
      </c>
      <c r="S986" s="3">
        <v>3</v>
      </c>
      <c r="T986" s="3">
        <v>0</v>
      </c>
      <c r="U986" s="3">
        <v>3</v>
      </c>
      <c r="V986" s="3">
        <v>2</v>
      </c>
      <c r="W986" s="3">
        <v>0</v>
      </c>
      <c r="X986" s="3" t="s">
        <v>147</v>
      </c>
      <c r="Y986" s="3">
        <v>0</v>
      </c>
      <c r="Z986" s="3">
        <v>0</v>
      </c>
      <c r="AA986" s="3">
        <v>0</v>
      </c>
      <c r="AB986" s="3">
        <v>0</v>
      </c>
      <c r="AC986" s="3">
        <v>2</v>
      </c>
      <c r="AD986" s="3">
        <v>2</v>
      </c>
      <c r="AE986" s="3">
        <v>14</v>
      </c>
      <c r="AF986" s="3" t="s">
        <v>0</v>
      </c>
      <c r="AG986" s="3" t="s">
        <v>0</v>
      </c>
    </row>
    <row r="987" spans="1:33" ht="51" x14ac:dyDescent="0.2">
      <c r="A987" s="4" t="str">
        <f>HYPERLINK("http://www.patentics.cn/invokexml.do?sf=ShowPatent&amp;spn=WO2011017991&amp;sv=9d8bbb83323777f9b5eb3148fd56a7ce","WO2011017991")</f>
        <v>WO2011017991</v>
      </c>
      <c r="B987" s="2" t="s">
        <v>4552</v>
      </c>
      <c r="C987" s="2" t="s">
        <v>4553</v>
      </c>
      <c r="D987" s="2" t="s">
        <v>4554</v>
      </c>
      <c r="E987" s="2" t="s">
        <v>4554</v>
      </c>
      <c r="F987" s="2" t="s">
        <v>4555</v>
      </c>
      <c r="G987" s="2" t="s">
        <v>4556</v>
      </c>
      <c r="H987" s="2" t="s">
        <v>4557</v>
      </c>
      <c r="I987" s="2" t="s">
        <v>3175</v>
      </c>
      <c r="J987" s="2" t="s">
        <v>4558</v>
      </c>
      <c r="K987" s="2" t="s">
        <v>58</v>
      </c>
      <c r="L987" s="2" t="s">
        <v>3325</v>
      </c>
      <c r="M987" s="2" t="s">
        <v>0</v>
      </c>
      <c r="N987" s="2" t="s">
        <v>0</v>
      </c>
      <c r="O987" s="2">
        <v>10</v>
      </c>
      <c r="P987" s="2">
        <v>9</v>
      </c>
      <c r="Q987" s="2" t="s">
        <v>352</v>
      </c>
      <c r="R987" s="2" t="s">
        <v>47</v>
      </c>
      <c r="S987" s="2">
        <v>5</v>
      </c>
      <c r="T987" s="2">
        <v>2</v>
      </c>
      <c r="U987" s="2">
        <v>3</v>
      </c>
      <c r="V987" s="2">
        <v>2</v>
      </c>
      <c r="W987" s="2">
        <v>12</v>
      </c>
      <c r="X987" s="2" t="s">
        <v>1884</v>
      </c>
      <c r="Y987" s="2">
        <v>0</v>
      </c>
      <c r="Z987" s="2">
        <v>12</v>
      </c>
      <c r="AA987" s="2">
        <v>2</v>
      </c>
      <c r="AB987" s="2">
        <v>3</v>
      </c>
      <c r="AC987" s="2">
        <v>12</v>
      </c>
      <c r="AD987" s="2">
        <v>8</v>
      </c>
      <c r="AE987" s="2" t="s">
        <v>0</v>
      </c>
      <c r="AF987" s="2">
        <v>2</v>
      </c>
      <c r="AG987" s="2" t="s">
        <v>0</v>
      </c>
    </row>
    <row r="988" spans="1:33" ht="63.75" x14ac:dyDescent="0.2">
      <c r="A988" s="5" t="str">
        <f>HYPERLINK("http://www.patentics.cn/invokexml.do?sf=ShowPatent&amp;spn=US8891652&amp;sv=1fbad0b82210858f55ead6d9796a6dc9","US8891652")</f>
        <v>US8891652</v>
      </c>
      <c r="B988" s="3" t="s">
        <v>4559</v>
      </c>
      <c r="C988" s="3" t="s">
        <v>4560</v>
      </c>
      <c r="D988" s="3" t="s">
        <v>52</v>
      </c>
      <c r="E988" s="3" t="s">
        <v>52</v>
      </c>
      <c r="F988" s="3" t="s">
        <v>4561</v>
      </c>
      <c r="G988" s="3" t="s">
        <v>2871</v>
      </c>
      <c r="H988" s="3" t="s">
        <v>4562</v>
      </c>
      <c r="I988" s="3" t="s">
        <v>3618</v>
      </c>
      <c r="J988" s="3" t="s">
        <v>1993</v>
      </c>
      <c r="K988" s="3" t="s">
        <v>84</v>
      </c>
      <c r="L988" s="3" t="s">
        <v>135</v>
      </c>
      <c r="M988" s="3" t="s">
        <v>84</v>
      </c>
      <c r="N988" s="3" t="s">
        <v>4563</v>
      </c>
      <c r="O988" s="3">
        <v>0</v>
      </c>
      <c r="P988" s="3">
        <v>14</v>
      </c>
      <c r="Q988" s="3" t="s">
        <v>60</v>
      </c>
      <c r="R988" s="3" t="s">
        <v>61</v>
      </c>
      <c r="S988" s="3">
        <v>21</v>
      </c>
      <c r="T988" s="3">
        <v>1</v>
      </c>
      <c r="U988" s="3">
        <v>20</v>
      </c>
      <c r="V988" s="3">
        <v>14</v>
      </c>
      <c r="W988" s="3">
        <v>2</v>
      </c>
      <c r="X988" s="3" t="s">
        <v>572</v>
      </c>
      <c r="Y988" s="3">
        <v>2</v>
      </c>
      <c r="Z988" s="3">
        <v>0</v>
      </c>
      <c r="AA988" s="3">
        <v>1</v>
      </c>
      <c r="AB988" s="3">
        <v>1</v>
      </c>
      <c r="AC988" s="3">
        <v>20</v>
      </c>
      <c r="AD988" s="3">
        <v>6</v>
      </c>
      <c r="AE988" s="3">
        <v>14</v>
      </c>
      <c r="AF988" s="3" t="s">
        <v>0</v>
      </c>
      <c r="AG988" s="3" t="s">
        <v>49</v>
      </c>
    </row>
    <row r="989" spans="1:33" ht="63.75" x14ac:dyDescent="0.2">
      <c r="A989" s="5" t="str">
        <f>HYPERLINK("http://www.patentics.cn/invokexml.do?sf=ShowPatent&amp;spn=US9209875&amp;sv=02e38243f1f0c02b1a08b9e326f3c1cb","US9209875")</f>
        <v>US9209875</v>
      </c>
      <c r="B989" s="3" t="s">
        <v>4564</v>
      </c>
      <c r="C989" s="3" t="s">
        <v>4560</v>
      </c>
      <c r="D989" s="3" t="s">
        <v>52</v>
      </c>
      <c r="E989" s="3" t="s">
        <v>52</v>
      </c>
      <c r="F989" s="3" t="s">
        <v>4561</v>
      </c>
      <c r="G989" s="3" t="s">
        <v>2871</v>
      </c>
      <c r="H989" s="3" t="s">
        <v>4562</v>
      </c>
      <c r="I989" s="3" t="s">
        <v>4565</v>
      </c>
      <c r="J989" s="3" t="s">
        <v>283</v>
      </c>
      <c r="K989" s="3" t="s">
        <v>84</v>
      </c>
      <c r="L989" s="3" t="s">
        <v>135</v>
      </c>
      <c r="M989" s="3" t="s">
        <v>84</v>
      </c>
      <c r="N989" s="3" t="s">
        <v>4566</v>
      </c>
      <c r="O989" s="3">
        <v>0</v>
      </c>
      <c r="P989" s="3">
        <v>6</v>
      </c>
      <c r="Q989" s="3" t="s">
        <v>60</v>
      </c>
      <c r="R989" s="3" t="s">
        <v>61</v>
      </c>
      <c r="S989" s="3">
        <v>31</v>
      </c>
      <c r="T989" s="3">
        <v>3</v>
      </c>
      <c r="U989" s="3">
        <v>28</v>
      </c>
      <c r="V989" s="3">
        <v>18</v>
      </c>
      <c r="W989" s="3">
        <v>0</v>
      </c>
      <c r="X989" s="3" t="s">
        <v>147</v>
      </c>
      <c r="Y989" s="3">
        <v>0</v>
      </c>
      <c r="Z989" s="3">
        <v>0</v>
      </c>
      <c r="AA989" s="3">
        <v>0</v>
      </c>
      <c r="AB989" s="3">
        <v>0</v>
      </c>
      <c r="AC989" s="3">
        <v>20</v>
      </c>
      <c r="AD989" s="3">
        <v>6</v>
      </c>
      <c r="AE989" s="3">
        <v>14</v>
      </c>
      <c r="AF989" s="3" t="s">
        <v>0</v>
      </c>
      <c r="AG989" s="3" t="s">
        <v>49</v>
      </c>
    </row>
    <row r="990" spans="1:33" ht="38.25" x14ac:dyDescent="0.2">
      <c r="A990" s="4" t="str">
        <f>HYPERLINK("http://www.patentics.cn/invokexml.do?sf=ShowPatent&amp;spn=WO2011012081&amp;sv=b32d93772e6aa9fc2a21d1dda7f27ffa","WO2011012081")</f>
        <v>WO2011012081</v>
      </c>
      <c r="B990" s="2" t="s">
        <v>4567</v>
      </c>
      <c r="C990" s="2" t="s">
        <v>4568</v>
      </c>
      <c r="D990" s="2" t="s">
        <v>4569</v>
      </c>
      <c r="E990" s="2" t="s">
        <v>4569</v>
      </c>
      <c r="F990" s="2" t="s">
        <v>4570</v>
      </c>
      <c r="G990" s="2" t="s">
        <v>4571</v>
      </c>
      <c r="H990" s="2" t="s">
        <v>4572</v>
      </c>
      <c r="I990" s="2" t="s">
        <v>1460</v>
      </c>
      <c r="J990" s="2" t="s">
        <v>1471</v>
      </c>
      <c r="K990" s="2" t="s">
        <v>58</v>
      </c>
      <c r="L990" s="2" t="s">
        <v>1236</v>
      </c>
      <c r="M990" s="2" t="s">
        <v>0</v>
      </c>
      <c r="N990" s="2" t="s">
        <v>0</v>
      </c>
      <c r="O990" s="2">
        <v>7</v>
      </c>
      <c r="P990" s="2">
        <v>12</v>
      </c>
      <c r="Q990" s="2" t="s">
        <v>352</v>
      </c>
      <c r="R990" s="2" t="s">
        <v>47</v>
      </c>
      <c r="S990" s="2">
        <v>3</v>
      </c>
      <c r="T990" s="2">
        <v>1</v>
      </c>
      <c r="U990" s="2">
        <v>2</v>
      </c>
      <c r="V990" s="2">
        <v>3</v>
      </c>
      <c r="W990" s="2">
        <v>2</v>
      </c>
      <c r="X990" s="2" t="s">
        <v>523</v>
      </c>
      <c r="Y990" s="2">
        <v>0</v>
      </c>
      <c r="Z990" s="2">
        <v>2</v>
      </c>
      <c r="AA990" s="2">
        <v>1</v>
      </c>
      <c r="AB990" s="2">
        <v>1</v>
      </c>
      <c r="AC990" s="2">
        <v>2</v>
      </c>
      <c r="AD990" s="2">
        <v>2</v>
      </c>
      <c r="AE990" s="2" t="s">
        <v>0</v>
      </c>
      <c r="AF990" s="2">
        <v>2</v>
      </c>
      <c r="AG990" s="2" t="s">
        <v>0</v>
      </c>
    </row>
    <row r="991" spans="1:33" ht="25.5" x14ac:dyDescent="0.2">
      <c r="A991" s="5" t="str">
        <f>HYPERLINK("http://www.patentics.cn/invokexml.do?sf=ShowPatent&amp;spn=US9065677&amp;sv=cc015371c0890767c32358454aa4dba7","US9065677")</f>
        <v>US9065677</v>
      </c>
      <c r="B991" s="3" t="s">
        <v>4573</v>
      </c>
      <c r="C991" s="3" t="s">
        <v>4574</v>
      </c>
      <c r="D991" s="3" t="s">
        <v>52</v>
      </c>
      <c r="E991" s="3" t="s">
        <v>52</v>
      </c>
      <c r="F991" s="3" t="s">
        <v>4575</v>
      </c>
      <c r="G991" s="3" t="s">
        <v>4575</v>
      </c>
      <c r="H991" s="3" t="s">
        <v>4576</v>
      </c>
      <c r="I991" s="3" t="s">
        <v>4576</v>
      </c>
      <c r="J991" s="3" t="s">
        <v>1596</v>
      </c>
      <c r="K991" s="3" t="s">
        <v>58</v>
      </c>
      <c r="L991" s="3" t="s">
        <v>289</v>
      </c>
      <c r="M991" s="3" t="s">
        <v>0</v>
      </c>
      <c r="N991" s="3" t="s">
        <v>0</v>
      </c>
      <c r="O991" s="3">
        <v>0</v>
      </c>
      <c r="P991" s="3">
        <v>8</v>
      </c>
      <c r="Q991" s="3" t="s">
        <v>60</v>
      </c>
      <c r="R991" s="3" t="s">
        <v>61</v>
      </c>
      <c r="S991" s="3">
        <v>16</v>
      </c>
      <c r="T991" s="3">
        <v>2</v>
      </c>
      <c r="U991" s="3">
        <v>14</v>
      </c>
      <c r="V991" s="3">
        <v>9</v>
      </c>
      <c r="W991" s="3">
        <v>0</v>
      </c>
      <c r="X991" s="3" t="s">
        <v>147</v>
      </c>
      <c r="Y991" s="3">
        <v>0</v>
      </c>
      <c r="Z991" s="3">
        <v>0</v>
      </c>
      <c r="AA991" s="3">
        <v>0</v>
      </c>
      <c r="AB991" s="3">
        <v>0</v>
      </c>
      <c r="AC991" s="3">
        <v>6</v>
      </c>
      <c r="AD991" s="3">
        <v>4</v>
      </c>
      <c r="AE991" s="3">
        <v>14</v>
      </c>
      <c r="AF991" s="3" t="s">
        <v>0</v>
      </c>
      <c r="AG991" s="3" t="s">
        <v>49</v>
      </c>
    </row>
    <row r="992" spans="1:33" ht="38.25" x14ac:dyDescent="0.2">
      <c r="A992" s="5" t="str">
        <f>HYPERLINK("http://www.patentics.cn/invokexml.do?sf=ShowPatent&amp;spn=US9294309&amp;sv=26d0191dbf9307ec78bfc3ef15368a77","US9294309")</f>
        <v>US9294309</v>
      </c>
      <c r="B992" s="3" t="s">
        <v>4577</v>
      </c>
      <c r="C992" s="3" t="s">
        <v>4574</v>
      </c>
      <c r="D992" s="3" t="s">
        <v>52</v>
      </c>
      <c r="E992" s="3" t="s">
        <v>52</v>
      </c>
      <c r="F992" s="3" t="s">
        <v>4578</v>
      </c>
      <c r="G992" s="3" t="s">
        <v>4578</v>
      </c>
      <c r="H992" s="3" t="s">
        <v>4576</v>
      </c>
      <c r="I992" s="3" t="s">
        <v>4579</v>
      </c>
      <c r="J992" s="3" t="s">
        <v>696</v>
      </c>
      <c r="K992" s="3" t="s">
        <v>58</v>
      </c>
      <c r="L992" s="3" t="s">
        <v>289</v>
      </c>
      <c r="M992" s="3" t="s">
        <v>58</v>
      </c>
      <c r="N992" s="3" t="s">
        <v>4580</v>
      </c>
      <c r="O992" s="3">
        <v>0</v>
      </c>
      <c r="P992" s="3">
        <v>10</v>
      </c>
      <c r="Q992" s="3" t="s">
        <v>60</v>
      </c>
      <c r="R992" s="3" t="s">
        <v>61</v>
      </c>
      <c r="S992" s="3">
        <v>24</v>
      </c>
      <c r="T992" s="3">
        <v>3</v>
      </c>
      <c r="U992" s="3">
        <v>21</v>
      </c>
      <c r="V992" s="3">
        <v>13</v>
      </c>
      <c r="W992" s="3">
        <v>0</v>
      </c>
      <c r="X992" s="3" t="s">
        <v>147</v>
      </c>
      <c r="Y992" s="3">
        <v>0</v>
      </c>
      <c r="Z992" s="3">
        <v>0</v>
      </c>
      <c r="AA992" s="3">
        <v>0</v>
      </c>
      <c r="AB992" s="3">
        <v>0</v>
      </c>
      <c r="AC992" s="3">
        <v>6</v>
      </c>
      <c r="AD992" s="3">
        <v>4</v>
      </c>
      <c r="AE992" s="3">
        <v>14</v>
      </c>
      <c r="AF992" s="3" t="s">
        <v>0</v>
      </c>
      <c r="AG992" s="3" t="s">
        <v>49</v>
      </c>
    </row>
    <row r="993" spans="1:33" ht="38.25" x14ac:dyDescent="0.2">
      <c r="A993" s="4" t="str">
        <f>HYPERLINK("http://www.patentics.cn/invokexml.do?sf=ShowPatent&amp;spn=WO2011009415&amp;sv=f20cda36be26467b008ad05a5d40e3b0","WO2011009415")</f>
        <v>WO2011009415</v>
      </c>
      <c r="B993" s="2" t="s">
        <v>4581</v>
      </c>
      <c r="C993" s="2" t="s">
        <v>4582</v>
      </c>
      <c r="D993" s="2" t="s">
        <v>4583</v>
      </c>
      <c r="E993" s="2" t="s">
        <v>4583</v>
      </c>
      <c r="F993" s="2" t="s">
        <v>4584</v>
      </c>
      <c r="G993" s="2" t="s">
        <v>4585</v>
      </c>
      <c r="H993" s="2" t="s">
        <v>1169</v>
      </c>
      <c r="I993" s="2" t="s">
        <v>4586</v>
      </c>
      <c r="J993" s="2" t="s">
        <v>4020</v>
      </c>
      <c r="K993" s="2" t="s">
        <v>82</v>
      </c>
      <c r="L993" s="2" t="s">
        <v>516</v>
      </c>
      <c r="M993" s="2" t="s">
        <v>0</v>
      </c>
      <c r="N993" s="2" t="s">
        <v>0</v>
      </c>
      <c r="O993" s="2">
        <v>9</v>
      </c>
      <c r="P993" s="2">
        <v>8</v>
      </c>
      <c r="Q993" s="2" t="s">
        <v>352</v>
      </c>
      <c r="R993" s="2" t="s">
        <v>47</v>
      </c>
      <c r="S993" s="2">
        <v>4</v>
      </c>
      <c r="T993" s="2">
        <v>0</v>
      </c>
      <c r="U993" s="2">
        <v>4</v>
      </c>
      <c r="V993" s="2">
        <v>3</v>
      </c>
      <c r="W993" s="2">
        <v>7</v>
      </c>
      <c r="X993" s="2" t="s">
        <v>4587</v>
      </c>
      <c r="Y993" s="2">
        <v>0</v>
      </c>
      <c r="Z993" s="2">
        <v>7</v>
      </c>
      <c r="AA993" s="2">
        <v>3</v>
      </c>
      <c r="AB993" s="2">
        <v>3</v>
      </c>
      <c r="AC993" s="2">
        <v>4</v>
      </c>
      <c r="AD993" s="2">
        <v>4</v>
      </c>
      <c r="AE993" s="2" t="s">
        <v>0</v>
      </c>
      <c r="AF993" s="2">
        <v>2</v>
      </c>
      <c r="AG993" s="2" t="s">
        <v>0</v>
      </c>
    </row>
    <row r="994" spans="1:33" ht="153" x14ac:dyDescent="0.2">
      <c r="A994" s="5" t="str">
        <f>HYPERLINK("http://www.patentics.cn/invokexml.do?sf=ShowPatent&amp;spn=US8554224&amp;sv=6dcddaa5352e06df45f2bbfea24f0c4f","US8554224")</f>
        <v>US8554224</v>
      </c>
      <c r="B994" s="3" t="s">
        <v>4588</v>
      </c>
      <c r="C994" s="3" t="s">
        <v>4589</v>
      </c>
      <c r="D994" s="3" t="s">
        <v>52</v>
      </c>
      <c r="E994" s="3" t="s">
        <v>52</v>
      </c>
      <c r="F994" s="3" t="s">
        <v>4590</v>
      </c>
      <c r="G994" s="3" t="s">
        <v>1042</v>
      </c>
      <c r="H994" s="3" t="s">
        <v>4591</v>
      </c>
      <c r="I994" s="3" t="s">
        <v>2665</v>
      </c>
      <c r="J994" s="3" t="s">
        <v>1876</v>
      </c>
      <c r="K994" s="3" t="s">
        <v>82</v>
      </c>
      <c r="L994" s="3" t="s">
        <v>177</v>
      </c>
      <c r="M994" s="3" t="s">
        <v>82</v>
      </c>
      <c r="N994" s="3" t="s">
        <v>4064</v>
      </c>
      <c r="O994" s="3">
        <v>0</v>
      </c>
      <c r="P994" s="3">
        <v>14</v>
      </c>
      <c r="Q994" s="3" t="s">
        <v>60</v>
      </c>
      <c r="R994" s="3" t="s">
        <v>61</v>
      </c>
      <c r="S994" s="3">
        <v>20</v>
      </c>
      <c r="T994" s="3">
        <v>4</v>
      </c>
      <c r="U994" s="3">
        <v>16</v>
      </c>
      <c r="V994" s="3">
        <v>10</v>
      </c>
      <c r="W994" s="3">
        <v>6</v>
      </c>
      <c r="X994" s="3" t="s">
        <v>460</v>
      </c>
      <c r="Y994" s="3">
        <v>1</v>
      </c>
      <c r="Z994" s="3">
        <v>5</v>
      </c>
      <c r="AA994" s="3">
        <v>5</v>
      </c>
      <c r="AB994" s="3">
        <v>1</v>
      </c>
      <c r="AC994" s="3">
        <v>5</v>
      </c>
      <c r="AD994" s="3">
        <v>5</v>
      </c>
      <c r="AE994" s="3">
        <v>14</v>
      </c>
      <c r="AF994" s="3" t="s">
        <v>0</v>
      </c>
      <c r="AG994" s="3" t="s">
        <v>49</v>
      </c>
    </row>
    <row r="995" spans="1:33" ht="114.75" x14ac:dyDescent="0.2">
      <c r="A995" s="5" t="str">
        <f>HYPERLINK("http://www.patentics.cn/invokexml.do?sf=ShowPatent&amp;spn=US8902791&amp;sv=47abc6233ad5ff76744247125ffc6406","US8902791")</f>
        <v>US8902791</v>
      </c>
      <c r="B995" s="3" t="s">
        <v>4592</v>
      </c>
      <c r="C995" s="3" t="s">
        <v>4593</v>
      </c>
      <c r="D995" s="3" t="s">
        <v>52</v>
      </c>
      <c r="E995" s="3" t="s">
        <v>52</v>
      </c>
      <c r="F995" s="3" t="s">
        <v>4594</v>
      </c>
      <c r="G995" s="3" t="s">
        <v>3255</v>
      </c>
      <c r="H995" s="3" t="s">
        <v>4595</v>
      </c>
      <c r="I995" s="3" t="s">
        <v>4596</v>
      </c>
      <c r="J995" s="3" t="s">
        <v>1842</v>
      </c>
      <c r="K995" s="3" t="s">
        <v>58</v>
      </c>
      <c r="L995" s="3" t="s">
        <v>289</v>
      </c>
      <c r="M995" s="3" t="s">
        <v>82</v>
      </c>
      <c r="N995" s="3" t="s">
        <v>799</v>
      </c>
      <c r="O995" s="3">
        <v>0</v>
      </c>
      <c r="P995" s="3">
        <v>17</v>
      </c>
      <c r="Q995" s="3" t="s">
        <v>60</v>
      </c>
      <c r="R995" s="3" t="s">
        <v>61</v>
      </c>
      <c r="S995" s="3">
        <v>13</v>
      </c>
      <c r="T995" s="3">
        <v>2</v>
      </c>
      <c r="U995" s="3">
        <v>11</v>
      </c>
      <c r="V995" s="3">
        <v>6</v>
      </c>
      <c r="W995" s="3">
        <v>0</v>
      </c>
      <c r="X995" s="3" t="s">
        <v>147</v>
      </c>
      <c r="Y995" s="3">
        <v>0</v>
      </c>
      <c r="Z995" s="3">
        <v>0</v>
      </c>
      <c r="AA995" s="3">
        <v>0</v>
      </c>
      <c r="AB995" s="3">
        <v>0</v>
      </c>
      <c r="AC995" s="3">
        <v>2</v>
      </c>
      <c r="AD995" s="3">
        <v>2</v>
      </c>
      <c r="AE995" s="3">
        <v>14</v>
      </c>
      <c r="AF995" s="3" t="s">
        <v>0</v>
      </c>
      <c r="AG995" s="3" t="s">
        <v>49</v>
      </c>
    </row>
    <row r="996" spans="1:33" ht="51" x14ac:dyDescent="0.2">
      <c r="A996" s="4" t="str">
        <f>HYPERLINK("http://www.patentics.cn/invokexml.do?sf=ShowPatent&amp;spn=WO2010124628&amp;sv=d263a0d364dc2a00b332dbd4262681c1","WO2010124628")</f>
        <v>WO2010124628</v>
      </c>
      <c r="B996" s="2" t="s">
        <v>4597</v>
      </c>
      <c r="C996" s="2" t="s">
        <v>4598</v>
      </c>
      <c r="D996" s="2" t="s">
        <v>4599</v>
      </c>
      <c r="E996" s="2" t="s">
        <v>4599</v>
      </c>
      <c r="F996" s="2" t="s">
        <v>4600</v>
      </c>
      <c r="G996" s="2" t="s">
        <v>4601</v>
      </c>
      <c r="H996" s="2" t="s">
        <v>1138</v>
      </c>
      <c r="I996" s="2" t="s">
        <v>1139</v>
      </c>
      <c r="J996" s="2" t="s">
        <v>4454</v>
      </c>
      <c r="K996" s="2" t="s">
        <v>82</v>
      </c>
      <c r="L996" s="2" t="s">
        <v>2457</v>
      </c>
      <c r="M996" s="2" t="s">
        <v>0</v>
      </c>
      <c r="N996" s="2" t="s">
        <v>0</v>
      </c>
      <c r="O996" s="2">
        <v>0</v>
      </c>
      <c r="P996" s="2">
        <v>0</v>
      </c>
      <c r="Q996" s="2" t="s">
        <v>352</v>
      </c>
      <c r="R996" s="2" t="s">
        <v>47</v>
      </c>
      <c r="S996" s="2">
        <v>3</v>
      </c>
      <c r="T996" s="2">
        <v>2</v>
      </c>
      <c r="U996" s="2">
        <v>1</v>
      </c>
      <c r="V996" s="2">
        <v>2</v>
      </c>
      <c r="W996" s="2">
        <v>4</v>
      </c>
      <c r="X996" s="2" t="s">
        <v>2612</v>
      </c>
      <c r="Y996" s="2">
        <v>2</v>
      </c>
      <c r="Z996" s="2">
        <v>2</v>
      </c>
      <c r="AA996" s="2">
        <v>2</v>
      </c>
      <c r="AB996" s="2">
        <v>2</v>
      </c>
      <c r="AC996" s="2">
        <v>9</v>
      </c>
      <c r="AD996" s="2">
        <v>6</v>
      </c>
      <c r="AE996" s="2" t="s">
        <v>0</v>
      </c>
      <c r="AF996" s="2">
        <v>2</v>
      </c>
      <c r="AG996" s="2" t="s">
        <v>0</v>
      </c>
    </row>
    <row r="997" spans="1:33" ht="51" x14ac:dyDescent="0.2">
      <c r="A997" s="5" t="str">
        <f>HYPERLINK("http://www.patentics.cn/invokexml.do?sf=ShowPatent&amp;spn=US9042277&amp;sv=4043f0650fa1af04f9462052b4900f23","US9042277")</f>
        <v>US9042277</v>
      </c>
      <c r="B997" s="3" t="s">
        <v>1142</v>
      </c>
      <c r="C997" s="3" t="s">
        <v>1143</v>
      </c>
      <c r="D997" s="3" t="s">
        <v>52</v>
      </c>
      <c r="E997" s="3" t="s">
        <v>52</v>
      </c>
      <c r="F997" s="3" t="s">
        <v>1144</v>
      </c>
      <c r="G997" s="3" t="s">
        <v>1091</v>
      </c>
      <c r="H997" s="3" t="s">
        <v>1145</v>
      </c>
      <c r="I997" s="3" t="s">
        <v>1146</v>
      </c>
      <c r="J997" s="3" t="s">
        <v>1147</v>
      </c>
      <c r="K997" s="3" t="s">
        <v>70</v>
      </c>
      <c r="L997" s="3" t="s">
        <v>467</v>
      </c>
      <c r="M997" s="3" t="s">
        <v>0</v>
      </c>
      <c r="N997" s="3" t="s">
        <v>0</v>
      </c>
      <c r="O997" s="3">
        <v>0</v>
      </c>
      <c r="P997" s="3">
        <v>16</v>
      </c>
      <c r="Q997" s="3" t="s">
        <v>60</v>
      </c>
      <c r="R997" s="3" t="s">
        <v>61</v>
      </c>
      <c r="S997" s="3">
        <v>17</v>
      </c>
      <c r="T997" s="3">
        <v>1</v>
      </c>
      <c r="U997" s="3">
        <v>16</v>
      </c>
      <c r="V997" s="3">
        <v>9</v>
      </c>
      <c r="W997" s="3">
        <v>8</v>
      </c>
      <c r="X997" s="3" t="s">
        <v>1148</v>
      </c>
      <c r="Y997" s="3">
        <v>0</v>
      </c>
      <c r="Z997" s="3">
        <v>8</v>
      </c>
      <c r="AA997" s="3">
        <v>2</v>
      </c>
      <c r="AB997" s="3">
        <v>2</v>
      </c>
      <c r="AC997" s="3">
        <v>7</v>
      </c>
      <c r="AD997" s="3">
        <v>6</v>
      </c>
      <c r="AE997" s="3">
        <v>14</v>
      </c>
      <c r="AF997" s="3" t="s">
        <v>0</v>
      </c>
      <c r="AG997" s="3" t="s">
        <v>49</v>
      </c>
    </row>
    <row r="998" spans="1:33" ht="51" x14ac:dyDescent="0.2">
      <c r="A998" s="5" t="str">
        <f>HYPERLINK("http://www.patentics.cn/invokexml.do?sf=ShowPatent&amp;spn=WO2012142123&amp;sv=66c7f1aec0cabb9b1f178cfd589422e6","WO2012142123")</f>
        <v>WO2012142123</v>
      </c>
      <c r="B998" s="3" t="s">
        <v>4602</v>
      </c>
      <c r="C998" s="3" t="s">
        <v>4603</v>
      </c>
      <c r="D998" s="3" t="s">
        <v>4604</v>
      </c>
      <c r="E998" s="3" t="s">
        <v>4605</v>
      </c>
      <c r="F998" s="3" t="s">
        <v>4606</v>
      </c>
      <c r="G998" s="3" t="s">
        <v>4607</v>
      </c>
      <c r="H998" s="3" t="s">
        <v>1145</v>
      </c>
      <c r="I998" s="3" t="s">
        <v>4608</v>
      </c>
      <c r="J998" s="3" t="s">
        <v>3176</v>
      </c>
      <c r="K998" s="3" t="s">
        <v>58</v>
      </c>
      <c r="L998" s="3" t="s">
        <v>188</v>
      </c>
      <c r="M998" s="3" t="s">
        <v>0</v>
      </c>
      <c r="N998" s="3" t="s">
        <v>0</v>
      </c>
      <c r="O998" s="3">
        <v>59</v>
      </c>
      <c r="P998" s="3">
        <v>8</v>
      </c>
      <c r="Q998" s="3" t="s">
        <v>352</v>
      </c>
      <c r="R998" s="3" t="s">
        <v>61</v>
      </c>
      <c r="S998" s="3">
        <v>6</v>
      </c>
      <c r="T998" s="3">
        <v>0</v>
      </c>
      <c r="U998" s="3">
        <v>6</v>
      </c>
      <c r="V998" s="3">
        <v>4</v>
      </c>
      <c r="W998" s="3">
        <v>11</v>
      </c>
      <c r="X998" s="3" t="s">
        <v>4609</v>
      </c>
      <c r="Y998" s="3">
        <v>0</v>
      </c>
      <c r="Z998" s="3">
        <v>11</v>
      </c>
      <c r="AA998" s="3">
        <v>4</v>
      </c>
      <c r="AB998" s="3">
        <v>3</v>
      </c>
      <c r="AC998" s="3">
        <v>7</v>
      </c>
      <c r="AD998" s="3">
        <v>6</v>
      </c>
      <c r="AE998" s="3">
        <v>14</v>
      </c>
      <c r="AF998" s="3" t="s">
        <v>0</v>
      </c>
      <c r="AG998" s="3" t="s">
        <v>0</v>
      </c>
    </row>
    <row r="999" spans="1:33" ht="38.25" x14ac:dyDescent="0.2">
      <c r="A999" s="4" t="str">
        <f>HYPERLINK("http://www.patentics.cn/invokexml.do?sf=ShowPatent&amp;spn=WO2010105488&amp;sv=5ed920f943492e9cd7295bb217f231e9","WO2010105488")</f>
        <v>WO2010105488</v>
      </c>
      <c r="B999" s="2" t="s">
        <v>4610</v>
      </c>
      <c r="C999" s="2" t="s">
        <v>4611</v>
      </c>
      <c r="D999" s="2" t="s">
        <v>4612</v>
      </c>
      <c r="E999" s="2" t="s">
        <v>4612</v>
      </c>
      <c r="F999" s="2" t="s">
        <v>4613</v>
      </c>
      <c r="G999" s="2" t="s">
        <v>4614</v>
      </c>
      <c r="H999" s="2" t="s">
        <v>4615</v>
      </c>
      <c r="I999" s="2" t="s">
        <v>3392</v>
      </c>
      <c r="J999" s="2" t="s">
        <v>4616</v>
      </c>
      <c r="K999" s="2" t="s">
        <v>82</v>
      </c>
      <c r="L999" s="2" t="s">
        <v>2222</v>
      </c>
      <c r="M999" s="2" t="s">
        <v>0</v>
      </c>
      <c r="N999" s="2" t="s">
        <v>0</v>
      </c>
      <c r="O999" s="2">
        <v>0</v>
      </c>
      <c r="P999" s="2">
        <v>0</v>
      </c>
      <c r="Q999" s="2" t="s">
        <v>352</v>
      </c>
      <c r="R999" s="2" t="s">
        <v>47</v>
      </c>
      <c r="S999" s="2">
        <v>4</v>
      </c>
      <c r="T999" s="2">
        <v>2</v>
      </c>
      <c r="U999" s="2">
        <v>2</v>
      </c>
      <c r="V999" s="2">
        <v>3</v>
      </c>
      <c r="W999" s="2">
        <v>3</v>
      </c>
      <c r="X999" s="2" t="s">
        <v>4617</v>
      </c>
      <c r="Y999" s="2">
        <v>0</v>
      </c>
      <c r="Z999" s="2">
        <v>3</v>
      </c>
      <c r="AA999" s="2">
        <v>2</v>
      </c>
      <c r="AB999" s="2">
        <v>2</v>
      </c>
      <c r="AC999" s="2">
        <v>6</v>
      </c>
      <c r="AD999" s="2">
        <v>4</v>
      </c>
      <c r="AE999" s="2" t="s">
        <v>0</v>
      </c>
      <c r="AF999" s="2">
        <v>2</v>
      </c>
      <c r="AG999" s="2" t="s">
        <v>0</v>
      </c>
    </row>
    <row r="1000" spans="1:33" ht="76.5" x14ac:dyDescent="0.2">
      <c r="A1000" s="5" t="str">
        <f>HYPERLINK("http://www.patentics.cn/invokexml.do?sf=ShowPatent&amp;spn=US8948157&amp;sv=0fd111df96ddfd446f92eec8c1b14fbe","US8948157")</f>
        <v>US8948157</v>
      </c>
      <c r="B1000" s="3" t="s">
        <v>4618</v>
      </c>
      <c r="C1000" s="3" t="s">
        <v>4619</v>
      </c>
      <c r="D1000" s="3" t="s">
        <v>52</v>
      </c>
      <c r="E1000" s="3" t="s">
        <v>52</v>
      </c>
      <c r="F1000" s="3" t="s">
        <v>4620</v>
      </c>
      <c r="G1000" s="3" t="s">
        <v>4621</v>
      </c>
      <c r="H1000" s="3" t="s">
        <v>4622</v>
      </c>
      <c r="I1000" s="3" t="s">
        <v>4623</v>
      </c>
      <c r="J1000" s="3" t="s">
        <v>2504</v>
      </c>
      <c r="K1000" s="3" t="s">
        <v>70</v>
      </c>
      <c r="L1000" s="3" t="s">
        <v>1082</v>
      </c>
      <c r="M1000" s="3" t="s">
        <v>70</v>
      </c>
      <c r="N1000" s="3" t="s">
        <v>4624</v>
      </c>
      <c r="O1000" s="3">
        <v>0</v>
      </c>
      <c r="P1000" s="3">
        <v>13</v>
      </c>
      <c r="Q1000" s="3" t="s">
        <v>60</v>
      </c>
      <c r="R1000" s="3" t="s">
        <v>61</v>
      </c>
      <c r="S1000" s="3">
        <v>11</v>
      </c>
      <c r="T1000" s="3">
        <v>4</v>
      </c>
      <c r="U1000" s="3">
        <v>7</v>
      </c>
      <c r="V1000" s="3">
        <v>5</v>
      </c>
      <c r="W1000" s="3">
        <v>0</v>
      </c>
      <c r="X1000" s="3" t="s">
        <v>147</v>
      </c>
      <c r="Y1000" s="3">
        <v>0</v>
      </c>
      <c r="Z1000" s="3">
        <v>0</v>
      </c>
      <c r="AA1000" s="3">
        <v>0</v>
      </c>
      <c r="AB1000" s="3">
        <v>0</v>
      </c>
      <c r="AC1000" s="3">
        <v>9</v>
      </c>
      <c r="AD1000" s="3">
        <v>6</v>
      </c>
      <c r="AE1000" s="3">
        <v>14</v>
      </c>
      <c r="AF1000" s="3" t="s">
        <v>0</v>
      </c>
      <c r="AG1000" s="3" t="s">
        <v>49</v>
      </c>
    </row>
    <row r="1001" spans="1:33" ht="76.5" x14ac:dyDescent="0.2">
      <c r="A1001" s="5" t="str">
        <f>HYPERLINK("http://www.patentics.cn/invokexml.do?sf=ShowPatent&amp;spn=WO2013036873&amp;sv=93d7d355e8f92ac970afa9641f54a2ae","WO2013036873")</f>
        <v>WO2013036873</v>
      </c>
      <c r="B1001" s="3" t="s">
        <v>4625</v>
      </c>
      <c r="C1001" s="3" t="s">
        <v>4619</v>
      </c>
      <c r="D1001" s="3" t="s">
        <v>4626</v>
      </c>
      <c r="E1001" s="3" t="s">
        <v>4627</v>
      </c>
      <c r="F1001" s="3" t="s">
        <v>4628</v>
      </c>
      <c r="G1001" s="3" t="s">
        <v>4629</v>
      </c>
      <c r="H1001" s="3" t="s">
        <v>4622</v>
      </c>
      <c r="I1001" s="3" t="s">
        <v>4630</v>
      </c>
      <c r="J1001" s="3" t="s">
        <v>316</v>
      </c>
      <c r="K1001" s="3" t="s">
        <v>82</v>
      </c>
      <c r="L1001" s="3" t="s">
        <v>1957</v>
      </c>
      <c r="M1001" s="3" t="s">
        <v>0</v>
      </c>
      <c r="N1001" s="3" t="s">
        <v>0</v>
      </c>
      <c r="O1001" s="3">
        <v>44</v>
      </c>
      <c r="P1001" s="3">
        <v>12</v>
      </c>
      <c r="Q1001" s="3" t="s">
        <v>352</v>
      </c>
      <c r="R1001" s="3" t="s">
        <v>61</v>
      </c>
      <c r="S1001" s="3">
        <v>1</v>
      </c>
      <c r="T1001" s="3">
        <v>0</v>
      </c>
      <c r="U1001" s="3">
        <v>1</v>
      </c>
      <c r="V1001" s="3">
        <v>1</v>
      </c>
      <c r="W1001" s="3">
        <v>3</v>
      </c>
      <c r="X1001" s="3" t="s">
        <v>3633</v>
      </c>
      <c r="Y1001" s="3">
        <v>3</v>
      </c>
      <c r="Z1001" s="3">
        <v>0</v>
      </c>
      <c r="AA1001" s="3">
        <v>1</v>
      </c>
      <c r="AB1001" s="3">
        <v>2</v>
      </c>
      <c r="AC1001" s="3">
        <v>9</v>
      </c>
      <c r="AD1001" s="3">
        <v>6</v>
      </c>
      <c r="AE1001" s="3">
        <v>14</v>
      </c>
      <c r="AF1001" s="3" t="s">
        <v>0</v>
      </c>
      <c r="AG1001" s="3" t="s">
        <v>0</v>
      </c>
    </row>
    <row r="1002" spans="1:33" ht="38.25" x14ac:dyDescent="0.2">
      <c r="A1002" s="4" t="str">
        <f>HYPERLINK("http://www.patentics.cn/invokexml.do?sf=ShowPatent&amp;spn=WO2010017414&amp;sv=1ef209a64ff25f77f59bf887db392740","WO2010017414")</f>
        <v>WO2010017414</v>
      </c>
      <c r="B1002" s="2" t="s">
        <v>4631</v>
      </c>
      <c r="C1002" s="2" t="s">
        <v>4632</v>
      </c>
      <c r="D1002" s="2" t="s">
        <v>4633</v>
      </c>
      <c r="E1002" s="2" t="s">
        <v>4634</v>
      </c>
      <c r="F1002" s="2" t="s">
        <v>4635</v>
      </c>
      <c r="G1002" s="2" t="s">
        <v>4636</v>
      </c>
      <c r="H1002" s="2" t="s">
        <v>2294</v>
      </c>
      <c r="I1002" s="2" t="s">
        <v>3414</v>
      </c>
      <c r="J1002" s="2" t="s">
        <v>2296</v>
      </c>
      <c r="K1002" s="2" t="s">
        <v>82</v>
      </c>
      <c r="L1002" s="2" t="s">
        <v>1429</v>
      </c>
      <c r="M1002" s="2" t="s">
        <v>0</v>
      </c>
      <c r="N1002" s="2" t="s">
        <v>0</v>
      </c>
      <c r="O1002" s="2">
        <v>27</v>
      </c>
      <c r="P1002" s="2">
        <v>13</v>
      </c>
      <c r="Q1002" s="2" t="s">
        <v>352</v>
      </c>
      <c r="R1002" s="2" t="s">
        <v>61</v>
      </c>
      <c r="S1002" s="2">
        <v>4</v>
      </c>
      <c r="T1002" s="2">
        <v>0</v>
      </c>
      <c r="U1002" s="2">
        <v>4</v>
      </c>
      <c r="V1002" s="2">
        <v>2</v>
      </c>
      <c r="W1002" s="2">
        <v>4</v>
      </c>
      <c r="X1002" s="2" t="s">
        <v>4637</v>
      </c>
      <c r="Y1002" s="2">
        <v>0</v>
      </c>
      <c r="Z1002" s="2">
        <v>4</v>
      </c>
      <c r="AA1002" s="2">
        <v>2</v>
      </c>
      <c r="AB1002" s="2">
        <v>2</v>
      </c>
      <c r="AC1002" s="2">
        <v>10</v>
      </c>
      <c r="AD1002" s="2">
        <v>7</v>
      </c>
      <c r="AE1002" s="2" t="s">
        <v>0</v>
      </c>
      <c r="AF1002" s="2">
        <v>2</v>
      </c>
      <c r="AG1002" s="2" t="s">
        <v>0</v>
      </c>
    </row>
    <row r="1003" spans="1:33" ht="102" x14ac:dyDescent="0.2">
      <c r="A1003" s="5" t="str">
        <f>HYPERLINK("http://www.patentics.cn/invokexml.do?sf=ShowPatent&amp;spn=WO2013082547&amp;sv=966da1f89dad6e214fc6a87a59a489dc","WO2013082547")</f>
        <v>WO2013082547</v>
      </c>
      <c r="B1003" s="3" t="s">
        <v>4638</v>
      </c>
      <c r="C1003" s="3" t="s">
        <v>4639</v>
      </c>
      <c r="D1003" s="3" t="s">
        <v>52</v>
      </c>
      <c r="E1003" s="3" t="s">
        <v>52</v>
      </c>
      <c r="F1003" s="3" t="s">
        <v>4640</v>
      </c>
      <c r="G1003" s="3" t="s">
        <v>4641</v>
      </c>
      <c r="H1003" s="3" t="s">
        <v>3559</v>
      </c>
      <c r="I1003" s="3" t="s">
        <v>2394</v>
      </c>
      <c r="J1003" s="3" t="s">
        <v>4533</v>
      </c>
      <c r="K1003" s="3" t="s">
        <v>82</v>
      </c>
      <c r="L1003" s="3" t="s">
        <v>177</v>
      </c>
      <c r="M1003" s="3" t="s">
        <v>0</v>
      </c>
      <c r="N1003" s="3" t="s">
        <v>0</v>
      </c>
      <c r="O1003" s="3">
        <v>92</v>
      </c>
      <c r="P1003" s="3">
        <v>4</v>
      </c>
      <c r="Q1003" s="3" t="s">
        <v>352</v>
      </c>
      <c r="R1003" s="3" t="s">
        <v>61</v>
      </c>
      <c r="S1003" s="3">
        <v>24</v>
      </c>
      <c r="T1003" s="3">
        <v>8</v>
      </c>
      <c r="U1003" s="3">
        <v>16</v>
      </c>
      <c r="V1003" s="3">
        <v>11</v>
      </c>
      <c r="W1003" s="3">
        <v>0</v>
      </c>
      <c r="X1003" s="3" t="s">
        <v>147</v>
      </c>
      <c r="Y1003" s="3">
        <v>0</v>
      </c>
      <c r="Z1003" s="3">
        <v>0</v>
      </c>
      <c r="AA1003" s="3">
        <v>0</v>
      </c>
      <c r="AB1003" s="3">
        <v>0</v>
      </c>
      <c r="AC1003" s="3">
        <v>2</v>
      </c>
      <c r="AD1003" s="3">
        <v>3</v>
      </c>
      <c r="AE1003" s="3">
        <v>14</v>
      </c>
      <c r="AF1003" s="3" t="s">
        <v>0</v>
      </c>
      <c r="AG1003" s="3" t="s">
        <v>0</v>
      </c>
    </row>
    <row r="1004" spans="1:33" ht="102" x14ac:dyDescent="0.2">
      <c r="A1004" s="5" t="str">
        <f>HYPERLINK("http://www.patentics.cn/invokexml.do?sf=ShowPatent&amp;spn=WO2013082547A3&amp;sv=6aa425b7351b7ddb6f6773eefd12687b","WO2013082547A3")</f>
        <v>WO2013082547A3</v>
      </c>
      <c r="B1004" s="3" t="s">
        <v>4642</v>
      </c>
      <c r="C1004" s="3" t="s">
        <v>4643</v>
      </c>
      <c r="D1004" s="3" t="s">
        <v>52</v>
      </c>
      <c r="E1004" s="3" t="s">
        <v>52</v>
      </c>
      <c r="F1004" s="3" t="s">
        <v>4640</v>
      </c>
      <c r="G1004" s="3" t="s">
        <v>4641</v>
      </c>
      <c r="H1004" s="3" t="s">
        <v>3559</v>
      </c>
      <c r="I1004" s="3" t="s">
        <v>3559</v>
      </c>
      <c r="J1004" s="3" t="s">
        <v>4644</v>
      </c>
      <c r="K1004" s="3" t="s">
        <v>82</v>
      </c>
      <c r="L1004" s="3" t="s">
        <v>177</v>
      </c>
      <c r="M1004" s="3" t="s">
        <v>82</v>
      </c>
      <c r="N1004" s="3" t="s">
        <v>82</v>
      </c>
      <c r="O1004" s="3">
        <v>0</v>
      </c>
      <c r="P1004" s="3">
        <v>0</v>
      </c>
      <c r="Q1004" s="3" t="s">
        <v>352</v>
      </c>
      <c r="R1004" s="3" t="s">
        <v>1387</v>
      </c>
      <c r="S1004" s="3">
        <v>24</v>
      </c>
      <c r="T1004" s="3">
        <v>8</v>
      </c>
      <c r="U1004" s="3">
        <v>16</v>
      </c>
      <c r="V1004" s="3">
        <v>11</v>
      </c>
      <c r="W1004" s="3">
        <v>0</v>
      </c>
      <c r="X1004" s="3" t="s">
        <v>147</v>
      </c>
      <c r="Y1004" s="3">
        <v>0</v>
      </c>
      <c r="Z1004" s="3">
        <v>0</v>
      </c>
      <c r="AA1004" s="3">
        <v>0</v>
      </c>
      <c r="AB1004" s="3">
        <v>0</v>
      </c>
      <c r="AC1004" s="3">
        <v>0</v>
      </c>
      <c r="AD1004" s="3">
        <v>0</v>
      </c>
      <c r="AE1004" s="3">
        <v>14</v>
      </c>
      <c r="AF1004" s="3" t="s">
        <v>0</v>
      </c>
      <c r="AG1004" s="3" t="s">
        <v>0</v>
      </c>
    </row>
    <row r="1005" spans="1:33" ht="38.25" x14ac:dyDescent="0.2">
      <c r="A1005" s="4" t="str">
        <f>HYPERLINK("http://www.patentics.cn/invokexml.do?sf=ShowPatent&amp;spn=WO2009120701&amp;sv=22fd097e300f29e38661f829896cd73f","WO2009120701")</f>
        <v>WO2009120701</v>
      </c>
      <c r="B1005" s="2" t="s">
        <v>4645</v>
      </c>
      <c r="C1005" s="2" t="s">
        <v>4646</v>
      </c>
      <c r="D1005" s="2" t="s">
        <v>4647</v>
      </c>
      <c r="E1005" s="2" t="s">
        <v>4648</v>
      </c>
      <c r="F1005" s="2" t="s">
        <v>4636</v>
      </c>
      <c r="G1005" s="2" t="s">
        <v>4636</v>
      </c>
      <c r="H1005" s="2" t="s">
        <v>3463</v>
      </c>
      <c r="I1005" s="2" t="s">
        <v>4649</v>
      </c>
      <c r="J1005" s="2" t="s">
        <v>4650</v>
      </c>
      <c r="K1005" s="2" t="s">
        <v>82</v>
      </c>
      <c r="L1005" s="2" t="s">
        <v>997</v>
      </c>
      <c r="M1005" s="2" t="s">
        <v>0</v>
      </c>
      <c r="N1005" s="2" t="s">
        <v>0</v>
      </c>
      <c r="O1005" s="2">
        <v>43</v>
      </c>
      <c r="P1005" s="2">
        <v>19</v>
      </c>
      <c r="Q1005" s="2" t="s">
        <v>352</v>
      </c>
      <c r="R1005" s="2" t="s">
        <v>61</v>
      </c>
      <c r="S1005" s="2">
        <v>4</v>
      </c>
      <c r="T1005" s="2">
        <v>0</v>
      </c>
      <c r="U1005" s="2">
        <v>4</v>
      </c>
      <c r="V1005" s="2">
        <v>3</v>
      </c>
      <c r="W1005" s="2">
        <v>30</v>
      </c>
      <c r="X1005" s="2" t="s">
        <v>4651</v>
      </c>
      <c r="Y1005" s="2">
        <v>1</v>
      </c>
      <c r="Z1005" s="2">
        <v>29</v>
      </c>
      <c r="AA1005" s="2">
        <v>9</v>
      </c>
      <c r="AB1005" s="2">
        <v>4</v>
      </c>
      <c r="AC1005" s="2">
        <v>10</v>
      </c>
      <c r="AD1005" s="2">
        <v>7</v>
      </c>
      <c r="AE1005" s="2" t="s">
        <v>0</v>
      </c>
      <c r="AF1005" s="2">
        <v>2</v>
      </c>
      <c r="AG1005" s="2" t="s">
        <v>0</v>
      </c>
    </row>
    <row r="1006" spans="1:33" ht="102" x14ac:dyDescent="0.2">
      <c r="A1006" s="5" t="str">
        <f>HYPERLINK("http://www.patentics.cn/invokexml.do?sf=ShowPatent&amp;spn=US9066273&amp;sv=d5638a841f6f8db304fbc3accb22f86f","US9066273")</f>
        <v>US9066273</v>
      </c>
      <c r="B1006" s="3" t="s">
        <v>4652</v>
      </c>
      <c r="C1006" s="3" t="s">
        <v>4653</v>
      </c>
      <c r="D1006" s="3" t="s">
        <v>52</v>
      </c>
      <c r="E1006" s="3" t="s">
        <v>52</v>
      </c>
      <c r="F1006" s="3" t="s">
        <v>4654</v>
      </c>
      <c r="G1006" s="3" t="s">
        <v>4655</v>
      </c>
      <c r="H1006" s="3" t="s">
        <v>4656</v>
      </c>
      <c r="I1006" s="3" t="s">
        <v>4657</v>
      </c>
      <c r="J1006" s="3" t="s">
        <v>1596</v>
      </c>
      <c r="K1006" s="3" t="s">
        <v>82</v>
      </c>
      <c r="L1006" s="3" t="s">
        <v>2371</v>
      </c>
      <c r="M1006" s="3" t="s">
        <v>0</v>
      </c>
      <c r="N1006" s="3" t="s">
        <v>0</v>
      </c>
      <c r="O1006" s="3">
        <v>0</v>
      </c>
      <c r="P1006" s="3">
        <v>10</v>
      </c>
      <c r="Q1006" s="3" t="s">
        <v>60</v>
      </c>
      <c r="R1006" s="3" t="s">
        <v>61</v>
      </c>
      <c r="S1006" s="3">
        <v>12</v>
      </c>
      <c r="T1006" s="3">
        <v>0</v>
      </c>
      <c r="U1006" s="3">
        <v>12</v>
      </c>
      <c r="V1006" s="3">
        <v>7</v>
      </c>
      <c r="W1006" s="3">
        <v>0</v>
      </c>
      <c r="X1006" s="3" t="s">
        <v>147</v>
      </c>
      <c r="Y1006" s="3">
        <v>0</v>
      </c>
      <c r="Z1006" s="3">
        <v>0</v>
      </c>
      <c r="AA1006" s="3">
        <v>0</v>
      </c>
      <c r="AB1006" s="3">
        <v>0</v>
      </c>
      <c r="AC1006" s="3">
        <v>3</v>
      </c>
      <c r="AD1006" s="3">
        <v>3</v>
      </c>
      <c r="AE1006" s="3">
        <v>14</v>
      </c>
      <c r="AF1006" s="3" t="s">
        <v>0</v>
      </c>
      <c r="AG1006" s="3" t="s">
        <v>49</v>
      </c>
    </row>
    <row r="1007" spans="1:33" ht="89.25" x14ac:dyDescent="0.2">
      <c r="A1007" s="5" t="str">
        <f>HYPERLINK("http://www.patentics.cn/invokexml.do?sf=ShowPatent&amp;spn=WO2014022405&amp;sv=5936e51a0eb2192d1939919877b7ea75","WO2014022405")</f>
        <v>WO2014022405</v>
      </c>
      <c r="B1007" s="3" t="s">
        <v>4658</v>
      </c>
      <c r="C1007" s="3" t="s">
        <v>4659</v>
      </c>
      <c r="D1007" s="3" t="s">
        <v>52</v>
      </c>
      <c r="E1007" s="3" t="s">
        <v>52</v>
      </c>
      <c r="F1007" s="3" t="s">
        <v>4660</v>
      </c>
      <c r="G1007" s="3" t="s">
        <v>4661</v>
      </c>
      <c r="H1007" s="3" t="s">
        <v>4656</v>
      </c>
      <c r="I1007" s="3" t="s">
        <v>4328</v>
      </c>
      <c r="J1007" s="3" t="s">
        <v>4662</v>
      </c>
      <c r="K1007" s="3" t="s">
        <v>82</v>
      </c>
      <c r="L1007" s="3" t="s">
        <v>4063</v>
      </c>
      <c r="M1007" s="3" t="s">
        <v>0</v>
      </c>
      <c r="N1007" s="3" t="s">
        <v>0</v>
      </c>
      <c r="O1007" s="3">
        <v>40</v>
      </c>
      <c r="P1007" s="3">
        <v>12</v>
      </c>
      <c r="Q1007" s="3" t="s">
        <v>352</v>
      </c>
      <c r="R1007" s="3" t="s">
        <v>61</v>
      </c>
      <c r="S1007" s="3">
        <v>5</v>
      </c>
      <c r="T1007" s="3">
        <v>0</v>
      </c>
      <c r="U1007" s="3">
        <v>5</v>
      </c>
      <c r="V1007" s="3">
        <v>4</v>
      </c>
      <c r="W1007" s="3">
        <v>0</v>
      </c>
      <c r="X1007" s="3" t="s">
        <v>147</v>
      </c>
      <c r="Y1007" s="3">
        <v>0</v>
      </c>
      <c r="Z1007" s="3">
        <v>0</v>
      </c>
      <c r="AA1007" s="3">
        <v>0</v>
      </c>
      <c r="AB1007" s="3">
        <v>0</v>
      </c>
      <c r="AC1007" s="3">
        <v>3</v>
      </c>
      <c r="AD1007" s="3">
        <v>3</v>
      </c>
      <c r="AE1007" s="3">
        <v>14</v>
      </c>
      <c r="AF1007" s="3" t="s">
        <v>0</v>
      </c>
      <c r="AG1007" s="3" t="s">
        <v>0</v>
      </c>
    </row>
    <row r="1008" spans="1:33" ht="38.25" x14ac:dyDescent="0.2">
      <c r="A1008" s="4" t="str">
        <f>HYPERLINK("http://www.patentics.cn/invokexml.do?sf=ShowPatent&amp;spn=WO2009102724&amp;sv=abc14c9a930d7ab09b83ee8ea08b8d01","WO2009102724")</f>
        <v>WO2009102724</v>
      </c>
      <c r="B1008" s="2" t="s">
        <v>4663</v>
      </c>
      <c r="C1008" s="2" t="s">
        <v>4664</v>
      </c>
      <c r="D1008" s="2" t="s">
        <v>4647</v>
      </c>
      <c r="E1008" s="2" t="s">
        <v>4648</v>
      </c>
      <c r="F1008" s="2" t="s">
        <v>4636</v>
      </c>
      <c r="G1008" s="2" t="s">
        <v>4636</v>
      </c>
      <c r="H1008" s="2" t="s">
        <v>4665</v>
      </c>
      <c r="I1008" s="2" t="s">
        <v>4666</v>
      </c>
      <c r="J1008" s="2" t="s">
        <v>4667</v>
      </c>
      <c r="K1008" s="2" t="s">
        <v>58</v>
      </c>
      <c r="L1008" s="2" t="s">
        <v>4668</v>
      </c>
      <c r="M1008" s="2" t="s">
        <v>0</v>
      </c>
      <c r="N1008" s="2" t="s">
        <v>0</v>
      </c>
      <c r="O1008" s="2">
        <v>92</v>
      </c>
      <c r="P1008" s="2">
        <v>11</v>
      </c>
      <c r="Q1008" s="2" t="s">
        <v>352</v>
      </c>
      <c r="R1008" s="2" t="s">
        <v>61</v>
      </c>
      <c r="S1008" s="2">
        <v>3</v>
      </c>
      <c r="T1008" s="2">
        <v>0</v>
      </c>
      <c r="U1008" s="2">
        <v>3</v>
      </c>
      <c r="V1008" s="2">
        <v>2</v>
      </c>
      <c r="W1008" s="2">
        <v>3</v>
      </c>
      <c r="X1008" s="2" t="s">
        <v>4669</v>
      </c>
      <c r="Y1008" s="2">
        <v>0</v>
      </c>
      <c r="Z1008" s="2">
        <v>3</v>
      </c>
      <c r="AA1008" s="2">
        <v>2</v>
      </c>
      <c r="AB1008" s="2">
        <v>2</v>
      </c>
      <c r="AC1008" s="2">
        <v>6</v>
      </c>
      <c r="AD1008" s="2">
        <v>6</v>
      </c>
      <c r="AE1008" s="2" t="s">
        <v>0</v>
      </c>
      <c r="AF1008" s="2">
        <v>2</v>
      </c>
      <c r="AG1008" s="2" t="s">
        <v>0</v>
      </c>
    </row>
    <row r="1009" spans="1:33" ht="63.75" x14ac:dyDescent="0.2">
      <c r="A1009" s="5" t="str">
        <f>HYPERLINK("http://www.patentics.cn/invokexml.do?sf=ShowPatent&amp;spn=US8547954&amp;sv=afdb495221af11a3accad10b84b76d6c","US8547954")</f>
        <v>US8547954</v>
      </c>
      <c r="B1009" s="3" t="s">
        <v>4670</v>
      </c>
      <c r="C1009" s="3" t="s">
        <v>4671</v>
      </c>
      <c r="D1009" s="3" t="s">
        <v>52</v>
      </c>
      <c r="E1009" s="3" t="s">
        <v>52</v>
      </c>
      <c r="F1009" s="3" t="s">
        <v>4672</v>
      </c>
      <c r="G1009" s="3" t="s">
        <v>949</v>
      </c>
      <c r="H1009" s="3" t="s">
        <v>4673</v>
      </c>
      <c r="I1009" s="3" t="s">
        <v>4674</v>
      </c>
      <c r="J1009" s="3" t="s">
        <v>107</v>
      </c>
      <c r="K1009" s="3" t="s">
        <v>70</v>
      </c>
      <c r="L1009" s="3" t="s">
        <v>467</v>
      </c>
      <c r="M1009" s="3" t="s">
        <v>82</v>
      </c>
      <c r="N1009" s="3" t="s">
        <v>4675</v>
      </c>
      <c r="O1009" s="3">
        <v>0</v>
      </c>
      <c r="P1009" s="3">
        <v>14</v>
      </c>
      <c r="Q1009" s="3" t="s">
        <v>60</v>
      </c>
      <c r="R1009" s="3" t="s">
        <v>61</v>
      </c>
      <c r="S1009" s="3">
        <v>9</v>
      </c>
      <c r="T1009" s="3">
        <v>0</v>
      </c>
      <c r="U1009" s="3">
        <v>9</v>
      </c>
      <c r="V1009" s="3">
        <v>7</v>
      </c>
      <c r="W1009" s="3">
        <v>2</v>
      </c>
      <c r="X1009" s="3" t="s">
        <v>4676</v>
      </c>
      <c r="Y1009" s="3">
        <v>2</v>
      </c>
      <c r="Z1009" s="3">
        <v>0</v>
      </c>
      <c r="AA1009" s="3">
        <v>1</v>
      </c>
      <c r="AB1009" s="3">
        <v>1</v>
      </c>
      <c r="AC1009" s="3">
        <v>22</v>
      </c>
      <c r="AD1009" s="3">
        <v>12</v>
      </c>
      <c r="AE1009" s="3">
        <v>14</v>
      </c>
      <c r="AF1009" s="3" t="s">
        <v>0</v>
      </c>
      <c r="AG1009" s="3" t="s">
        <v>49</v>
      </c>
    </row>
    <row r="1010" spans="1:33" ht="63.75" x14ac:dyDescent="0.2">
      <c r="A1010" s="5" t="str">
        <f>HYPERLINK("http://www.patentics.cn/invokexml.do?sf=ShowPatent&amp;spn=US9106279&amp;sv=433a1d21cea8f4c1bc0f80fba21573ac","US9106279")</f>
        <v>US9106279</v>
      </c>
      <c r="B1010" s="3" t="s">
        <v>4677</v>
      </c>
      <c r="C1010" s="3" t="s">
        <v>4671</v>
      </c>
      <c r="D1010" s="3" t="s">
        <v>52</v>
      </c>
      <c r="E1010" s="3" t="s">
        <v>52</v>
      </c>
      <c r="F1010" s="3" t="s">
        <v>4672</v>
      </c>
      <c r="G1010" s="3" t="s">
        <v>949</v>
      </c>
      <c r="H1010" s="3" t="s">
        <v>4673</v>
      </c>
      <c r="I1010" s="3" t="s">
        <v>4678</v>
      </c>
      <c r="J1010" s="3" t="s">
        <v>927</v>
      </c>
      <c r="K1010" s="3" t="s">
        <v>70</v>
      </c>
      <c r="L1010" s="3" t="s">
        <v>467</v>
      </c>
      <c r="M1010" s="3" t="s">
        <v>0</v>
      </c>
      <c r="N1010" s="3" t="s">
        <v>0</v>
      </c>
      <c r="O1010" s="3">
        <v>0</v>
      </c>
      <c r="P1010" s="3">
        <v>14</v>
      </c>
      <c r="Q1010" s="3" t="s">
        <v>60</v>
      </c>
      <c r="R1010" s="3" t="s">
        <v>61</v>
      </c>
      <c r="S1010" s="3">
        <v>13</v>
      </c>
      <c r="T1010" s="3">
        <v>3</v>
      </c>
      <c r="U1010" s="3">
        <v>10</v>
      </c>
      <c r="V1010" s="3">
        <v>9</v>
      </c>
      <c r="W1010" s="3">
        <v>0</v>
      </c>
      <c r="X1010" s="3" t="s">
        <v>147</v>
      </c>
      <c r="Y1010" s="3">
        <v>0</v>
      </c>
      <c r="Z1010" s="3">
        <v>0</v>
      </c>
      <c r="AA1010" s="3">
        <v>0</v>
      </c>
      <c r="AB1010" s="3">
        <v>0</v>
      </c>
      <c r="AC1010" s="3">
        <v>22</v>
      </c>
      <c r="AD1010" s="3">
        <v>12</v>
      </c>
      <c r="AE1010" s="3">
        <v>14</v>
      </c>
      <c r="AF1010" s="3" t="s">
        <v>0</v>
      </c>
      <c r="AG1010" s="3" t="s">
        <v>49</v>
      </c>
    </row>
    <row r="1011" spans="1:33" ht="25.5" x14ac:dyDescent="0.2">
      <c r="A1011" s="4" t="str">
        <f>HYPERLINK("http://www.patentics.cn/invokexml.do?sf=ShowPatent&amp;spn=WO2009052420&amp;sv=5057a3c6b8af1aa548f76329ba5a72a5","WO2009052420")</f>
        <v>WO2009052420</v>
      </c>
      <c r="B1011" s="2" t="s">
        <v>4679</v>
      </c>
      <c r="C1011" s="2" t="s">
        <v>4680</v>
      </c>
      <c r="D1011" s="2" t="s">
        <v>2325</v>
      </c>
      <c r="E1011" s="2" t="s">
        <v>2326</v>
      </c>
      <c r="F1011" s="2" t="s">
        <v>882</v>
      </c>
      <c r="G1011" s="2" t="s">
        <v>882</v>
      </c>
      <c r="H1011" s="2" t="s">
        <v>4681</v>
      </c>
      <c r="I1011" s="2" t="s">
        <v>4682</v>
      </c>
      <c r="J1011" s="2" t="s">
        <v>3807</v>
      </c>
      <c r="K1011" s="2" t="s">
        <v>58</v>
      </c>
      <c r="L1011" s="2" t="s">
        <v>326</v>
      </c>
      <c r="M1011" s="2" t="s">
        <v>0</v>
      </c>
      <c r="N1011" s="2" t="s">
        <v>0</v>
      </c>
      <c r="O1011" s="2">
        <v>57</v>
      </c>
      <c r="P1011" s="2">
        <v>10</v>
      </c>
      <c r="Q1011" s="2" t="s">
        <v>352</v>
      </c>
      <c r="R1011" s="2" t="s">
        <v>61</v>
      </c>
      <c r="S1011" s="2">
        <v>4</v>
      </c>
      <c r="T1011" s="2">
        <v>0</v>
      </c>
      <c r="U1011" s="2">
        <v>4</v>
      </c>
      <c r="V1011" s="2">
        <v>3</v>
      </c>
      <c r="W1011" s="2">
        <v>15</v>
      </c>
      <c r="X1011" s="2" t="s">
        <v>4683</v>
      </c>
      <c r="Y1011" s="2">
        <v>0</v>
      </c>
      <c r="Z1011" s="2">
        <v>15</v>
      </c>
      <c r="AA1011" s="2">
        <v>8</v>
      </c>
      <c r="AB1011" s="2">
        <v>4</v>
      </c>
      <c r="AC1011" s="2">
        <v>15</v>
      </c>
      <c r="AD1011" s="2">
        <v>10</v>
      </c>
      <c r="AE1011" s="2" t="s">
        <v>0</v>
      </c>
      <c r="AF1011" s="2">
        <v>2</v>
      </c>
      <c r="AG1011" s="2" t="s">
        <v>0</v>
      </c>
    </row>
    <row r="1012" spans="1:33" ht="89.25" x14ac:dyDescent="0.2">
      <c r="A1012" s="5" t="str">
        <f>HYPERLINK("http://www.patentics.cn/invokexml.do?sf=ShowPatent&amp;spn=US8730854&amp;sv=ed77920b07a4effa35ea7055dcf6d9e9","US8730854")</f>
        <v>US8730854</v>
      </c>
      <c r="B1012" s="3" t="s">
        <v>4684</v>
      </c>
      <c r="C1012" s="3" t="s">
        <v>4685</v>
      </c>
      <c r="D1012" s="3" t="s">
        <v>52</v>
      </c>
      <c r="E1012" s="3" t="s">
        <v>52</v>
      </c>
      <c r="F1012" s="3" t="s">
        <v>4686</v>
      </c>
      <c r="G1012" s="3" t="s">
        <v>924</v>
      </c>
      <c r="H1012" s="3" t="s">
        <v>4667</v>
      </c>
      <c r="I1012" s="3" t="s">
        <v>713</v>
      </c>
      <c r="J1012" s="3" t="s">
        <v>4687</v>
      </c>
      <c r="K1012" s="3" t="s">
        <v>84</v>
      </c>
      <c r="L1012" s="3" t="s">
        <v>163</v>
      </c>
      <c r="M1012" s="3" t="s">
        <v>58</v>
      </c>
      <c r="N1012" s="3" t="s">
        <v>2466</v>
      </c>
      <c r="O1012" s="3">
        <v>0</v>
      </c>
      <c r="P1012" s="3">
        <v>8</v>
      </c>
      <c r="Q1012" s="3" t="s">
        <v>60</v>
      </c>
      <c r="R1012" s="3" t="s">
        <v>61</v>
      </c>
      <c r="S1012" s="3">
        <v>14</v>
      </c>
      <c r="T1012" s="3">
        <v>3</v>
      </c>
      <c r="U1012" s="3">
        <v>11</v>
      </c>
      <c r="V1012" s="3">
        <v>8</v>
      </c>
      <c r="W1012" s="3">
        <v>0</v>
      </c>
      <c r="X1012" s="3" t="s">
        <v>147</v>
      </c>
      <c r="Y1012" s="3">
        <v>0</v>
      </c>
      <c r="Z1012" s="3">
        <v>0</v>
      </c>
      <c r="AA1012" s="3">
        <v>0</v>
      </c>
      <c r="AB1012" s="3">
        <v>0</v>
      </c>
      <c r="AC1012" s="3">
        <v>3</v>
      </c>
      <c r="AD1012" s="3">
        <v>3</v>
      </c>
      <c r="AE1012" s="3">
        <v>14</v>
      </c>
      <c r="AF1012" s="3" t="s">
        <v>0</v>
      </c>
      <c r="AG1012" s="3" t="s">
        <v>49</v>
      </c>
    </row>
    <row r="1013" spans="1:33" ht="76.5" x14ac:dyDescent="0.2">
      <c r="A1013" s="5" t="str">
        <f>HYPERLINK("http://www.patentics.cn/invokexml.do?sf=ShowPatent&amp;spn=WO2011022567&amp;sv=da4a10bc0f3a6cd87e54996e19f17edd","WO2011022567")</f>
        <v>WO2011022567</v>
      </c>
      <c r="B1013" s="3" t="s">
        <v>4688</v>
      </c>
      <c r="C1013" s="3" t="s">
        <v>4689</v>
      </c>
      <c r="D1013" s="3" t="s">
        <v>4690</v>
      </c>
      <c r="E1013" s="3" t="s">
        <v>4691</v>
      </c>
      <c r="F1013" s="3" t="s">
        <v>4692</v>
      </c>
      <c r="G1013" s="3" t="s">
        <v>4693</v>
      </c>
      <c r="H1013" s="3" t="s">
        <v>4667</v>
      </c>
      <c r="I1013" s="3" t="s">
        <v>4694</v>
      </c>
      <c r="J1013" s="3" t="s">
        <v>3202</v>
      </c>
      <c r="K1013" s="3" t="s">
        <v>82</v>
      </c>
      <c r="L1013" s="3" t="s">
        <v>2222</v>
      </c>
      <c r="M1013" s="3" t="s">
        <v>0</v>
      </c>
      <c r="N1013" s="3" t="s">
        <v>0</v>
      </c>
      <c r="O1013" s="3">
        <v>26</v>
      </c>
      <c r="P1013" s="3">
        <v>6</v>
      </c>
      <c r="Q1013" s="3" t="s">
        <v>352</v>
      </c>
      <c r="R1013" s="3" t="s">
        <v>61</v>
      </c>
      <c r="S1013" s="3">
        <v>4</v>
      </c>
      <c r="T1013" s="3">
        <v>0</v>
      </c>
      <c r="U1013" s="3">
        <v>4</v>
      </c>
      <c r="V1013" s="3">
        <v>4</v>
      </c>
      <c r="W1013" s="3">
        <v>0</v>
      </c>
      <c r="X1013" s="3" t="s">
        <v>147</v>
      </c>
      <c r="Y1013" s="3">
        <v>0</v>
      </c>
      <c r="Z1013" s="3">
        <v>0</v>
      </c>
      <c r="AA1013" s="3">
        <v>0</v>
      </c>
      <c r="AB1013" s="3">
        <v>0</v>
      </c>
      <c r="AC1013" s="3">
        <v>3</v>
      </c>
      <c r="AD1013" s="3">
        <v>3</v>
      </c>
      <c r="AE1013" s="3">
        <v>14</v>
      </c>
      <c r="AF1013" s="3" t="s">
        <v>0</v>
      </c>
      <c r="AG1013" s="3" t="s">
        <v>0</v>
      </c>
    </row>
    <row r="1014" spans="1:33" ht="51" x14ac:dyDescent="0.2">
      <c r="A1014" s="4" t="str">
        <f>HYPERLINK("http://www.patentics.cn/invokexml.do?sf=ShowPatent&amp;spn=WO2009015612&amp;sv=cde6a792b6b6ec7f7ce2c9afa6bef697","WO2009015612")</f>
        <v>WO2009015612</v>
      </c>
      <c r="B1014" s="2" t="s">
        <v>4695</v>
      </c>
      <c r="C1014" s="2" t="s">
        <v>3562</v>
      </c>
      <c r="D1014" s="2" t="s">
        <v>4696</v>
      </c>
      <c r="E1014" s="2" t="s">
        <v>4696</v>
      </c>
      <c r="F1014" s="2" t="s">
        <v>4697</v>
      </c>
      <c r="G1014" s="2" t="s">
        <v>4698</v>
      </c>
      <c r="H1014" s="2" t="s">
        <v>3565</v>
      </c>
      <c r="I1014" s="2" t="s">
        <v>3566</v>
      </c>
      <c r="J1014" s="2" t="s">
        <v>1441</v>
      </c>
      <c r="K1014" s="2" t="s">
        <v>84</v>
      </c>
      <c r="L1014" s="2" t="s">
        <v>537</v>
      </c>
      <c r="M1014" s="2" t="s">
        <v>0</v>
      </c>
      <c r="N1014" s="2" t="s">
        <v>0</v>
      </c>
      <c r="O1014" s="2">
        <v>0</v>
      </c>
      <c r="P1014" s="2">
        <v>0</v>
      </c>
      <c r="Q1014" s="2" t="s">
        <v>352</v>
      </c>
      <c r="R1014" s="2" t="s">
        <v>47</v>
      </c>
      <c r="S1014" s="2">
        <v>3</v>
      </c>
      <c r="T1014" s="2">
        <v>0</v>
      </c>
      <c r="U1014" s="2">
        <v>3</v>
      </c>
      <c r="V1014" s="2">
        <v>2</v>
      </c>
      <c r="W1014" s="2">
        <v>2</v>
      </c>
      <c r="X1014" s="2" t="s">
        <v>1807</v>
      </c>
      <c r="Y1014" s="2">
        <v>0</v>
      </c>
      <c r="Z1014" s="2">
        <v>2</v>
      </c>
      <c r="AA1014" s="2">
        <v>1</v>
      </c>
      <c r="AB1014" s="2">
        <v>2</v>
      </c>
      <c r="AC1014" s="2">
        <v>6</v>
      </c>
      <c r="AD1014" s="2">
        <v>4</v>
      </c>
      <c r="AE1014" s="2" t="s">
        <v>0</v>
      </c>
      <c r="AF1014" s="2">
        <v>2</v>
      </c>
      <c r="AG1014" s="2" t="s">
        <v>0</v>
      </c>
    </row>
    <row r="1015" spans="1:33" ht="63.75" x14ac:dyDescent="0.2">
      <c r="A1015" s="5" t="str">
        <f>HYPERLINK("http://www.patentics.cn/invokexml.do?sf=ShowPatent&amp;spn=US9113491&amp;sv=681961bb60620f5fa7dbffe7983f873a","US9113491")</f>
        <v>US9113491</v>
      </c>
      <c r="B1015" s="3" t="s">
        <v>3576</v>
      </c>
      <c r="C1015" s="3" t="s">
        <v>3577</v>
      </c>
      <c r="D1015" s="3" t="s">
        <v>52</v>
      </c>
      <c r="E1015" s="3" t="s">
        <v>52</v>
      </c>
      <c r="F1015" s="3" t="s">
        <v>3578</v>
      </c>
      <c r="G1015" s="3" t="s">
        <v>949</v>
      </c>
      <c r="H1015" s="3" t="s">
        <v>3579</v>
      </c>
      <c r="I1015" s="3" t="s">
        <v>732</v>
      </c>
      <c r="J1015" s="3" t="s">
        <v>2440</v>
      </c>
      <c r="K1015" s="3" t="s">
        <v>82</v>
      </c>
      <c r="L1015" s="3" t="s">
        <v>244</v>
      </c>
      <c r="M1015" s="3" t="s">
        <v>0</v>
      </c>
      <c r="N1015" s="3" t="s">
        <v>0</v>
      </c>
      <c r="O1015" s="3">
        <v>0</v>
      </c>
      <c r="P1015" s="3">
        <v>32</v>
      </c>
      <c r="Q1015" s="3" t="s">
        <v>60</v>
      </c>
      <c r="R1015" s="3" t="s">
        <v>61</v>
      </c>
      <c r="S1015" s="3">
        <v>22</v>
      </c>
      <c r="T1015" s="3">
        <v>1</v>
      </c>
      <c r="U1015" s="3">
        <v>21</v>
      </c>
      <c r="V1015" s="3">
        <v>12</v>
      </c>
      <c r="W1015" s="3">
        <v>0</v>
      </c>
      <c r="X1015" s="3" t="s">
        <v>147</v>
      </c>
      <c r="Y1015" s="3">
        <v>0</v>
      </c>
      <c r="Z1015" s="3">
        <v>0</v>
      </c>
      <c r="AA1015" s="3">
        <v>0</v>
      </c>
      <c r="AB1015" s="3">
        <v>0</v>
      </c>
      <c r="AC1015" s="3">
        <v>11</v>
      </c>
      <c r="AD1015" s="3">
        <v>7</v>
      </c>
      <c r="AE1015" s="3">
        <v>14</v>
      </c>
      <c r="AF1015" s="3" t="s">
        <v>0</v>
      </c>
      <c r="AG1015" s="3" t="s">
        <v>49</v>
      </c>
    </row>
    <row r="1016" spans="1:33" ht="63.75" x14ac:dyDescent="0.2">
      <c r="A1016" s="5" t="str">
        <f>HYPERLINK("http://www.patentics.cn/invokexml.do?sf=ShowPatent&amp;spn=WO2011011636&amp;sv=6ab838c7c997f9c9459bfd72dd17da20","WO2011011636")</f>
        <v>WO2011011636</v>
      </c>
      <c r="B1016" s="3" t="s">
        <v>4699</v>
      </c>
      <c r="C1016" s="3" t="s">
        <v>3577</v>
      </c>
      <c r="D1016" s="3" t="s">
        <v>4700</v>
      </c>
      <c r="E1016" s="3" t="s">
        <v>4701</v>
      </c>
      <c r="F1016" s="3" t="s">
        <v>4702</v>
      </c>
      <c r="G1016" s="3" t="s">
        <v>4703</v>
      </c>
      <c r="H1016" s="3" t="s">
        <v>3579</v>
      </c>
      <c r="I1016" s="3" t="s">
        <v>4704</v>
      </c>
      <c r="J1016" s="3" t="s">
        <v>4020</v>
      </c>
      <c r="K1016" s="3" t="s">
        <v>82</v>
      </c>
      <c r="L1016" s="3" t="s">
        <v>997</v>
      </c>
      <c r="M1016" s="3" t="s">
        <v>0</v>
      </c>
      <c r="N1016" s="3" t="s">
        <v>0</v>
      </c>
      <c r="O1016" s="3">
        <v>50</v>
      </c>
      <c r="P1016" s="3">
        <v>23</v>
      </c>
      <c r="Q1016" s="3" t="s">
        <v>352</v>
      </c>
      <c r="R1016" s="3" t="s">
        <v>61</v>
      </c>
      <c r="S1016" s="3">
        <v>11</v>
      </c>
      <c r="T1016" s="3">
        <v>1</v>
      </c>
      <c r="U1016" s="3">
        <v>10</v>
      </c>
      <c r="V1016" s="3">
        <v>9</v>
      </c>
      <c r="W1016" s="3">
        <v>15</v>
      </c>
      <c r="X1016" s="3" t="s">
        <v>4705</v>
      </c>
      <c r="Y1016" s="3">
        <v>0</v>
      </c>
      <c r="Z1016" s="3">
        <v>15</v>
      </c>
      <c r="AA1016" s="3">
        <v>4</v>
      </c>
      <c r="AB1016" s="3">
        <v>4</v>
      </c>
      <c r="AC1016" s="3">
        <v>11</v>
      </c>
      <c r="AD1016" s="3">
        <v>7</v>
      </c>
      <c r="AE1016" s="3">
        <v>14</v>
      </c>
      <c r="AF1016" s="3" t="s">
        <v>0</v>
      </c>
      <c r="AG1016" s="3" t="s">
        <v>0</v>
      </c>
    </row>
    <row r="1017" spans="1:33" ht="38.25" x14ac:dyDescent="0.2">
      <c r="A1017" s="4" t="str">
        <f>HYPERLINK("http://www.patentics.cn/invokexml.do?sf=ShowPatent&amp;spn=WO2008113216&amp;sv=9d0c055aaf504795c4195a69971acd3a","WO2008113216")</f>
        <v>WO2008113216</v>
      </c>
      <c r="B1017" s="2" t="s">
        <v>4706</v>
      </c>
      <c r="C1017" s="2" t="s">
        <v>4707</v>
      </c>
      <c r="D1017" s="2" t="s">
        <v>4708</v>
      </c>
      <c r="E1017" s="2" t="s">
        <v>4708</v>
      </c>
      <c r="F1017" s="2" t="s">
        <v>4709</v>
      </c>
      <c r="G1017" s="2" t="s">
        <v>4710</v>
      </c>
      <c r="H1017" s="2" t="s">
        <v>4711</v>
      </c>
      <c r="I1017" s="2" t="s">
        <v>4711</v>
      </c>
      <c r="J1017" s="2" t="s">
        <v>4712</v>
      </c>
      <c r="K1017" s="2" t="s">
        <v>58</v>
      </c>
      <c r="L1017" s="2" t="s">
        <v>4713</v>
      </c>
      <c r="M1017" s="2" t="s">
        <v>0</v>
      </c>
      <c r="N1017" s="2" t="s">
        <v>0</v>
      </c>
      <c r="O1017" s="2">
        <v>0</v>
      </c>
      <c r="P1017" s="2">
        <v>0</v>
      </c>
      <c r="Q1017" s="2" t="s">
        <v>352</v>
      </c>
      <c r="R1017" s="2" t="s">
        <v>47</v>
      </c>
      <c r="S1017" s="2">
        <v>3</v>
      </c>
      <c r="T1017" s="2">
        <v>0</v>
      </c>
      <c r="U1017" s="2">
        <v>3</v>
      </c>
      <c r="V1017" s="2">
        <v>3</v>
      </c>
      <c r="W1017" s="2">
        <v>3</v>
      </c>
      <c r="X1017" s="2" t="s">
        <v>1884</v>
      </c>
      <c r="Y1017" s="2">
        <v>0</v>
      </c>
      <c r="Z1017" s="2">
        <v>3</v>
      </c>
      <c r="AA1017" s="2">
        <v>2</v>
      </c>
      <c r="AB1017" s="2">
        <v>2</v>
      </c>
      <c r="AC1017" s="2">
        <v>2</v>
      </c>
      <c r="AD1017" s="2">
        <v>2</v>
      </c>
      <c r="AE1017" s="2" t="s">
        <v>0</v>
      </c>
      <c r="AF1017" s="2">
        <v>2</v>
      </c>
      <c r="AG1017" s="2" t="s">
        <v>0</v>
      </c>
    </row>
    <row r="1018" spans="1:33" ht="140.25" x14ac:dyDescent="0.2">
      <c r="A1018" s="5" t="str">
        <f>HYPERLINK("http://www.patentics.cn/invokexml.do?sf=ShowPatent&amp;spn=US9172561&amp;sv=3b5e5173429c6bee3f35e2551a9b5bf1","US9172561")</f>
        <v>US9172561</v>
      </c>
      <c r="B1018" s="3" t="s">
        <v>4714</v>
      </c>
      <c r="C1018" s="3" t="s">
        <v>4715</v>
      </c>
      <c r="D1018" s="3" t="s">
        <v>52</v>
      </c>
      <c r="E1018" s="3" t="s">
        <v>52</v>
      </c>
      <c r="F1018" s="3" t="s">
        <v>4716</v>
      </c>
      <c r="G1018" s="3" t="s">
        <v>924</v>
      </c>
      <c r="H1018" s="3" t="s">
        <v>4717</v>
      </c>
      <c r="I1018" s="3" t="s">
        <v>4586</v>
      </c>
      <c r="J1018" s="3" t="s">
        <v>263</v>
      </c>
      <c r="K1018" s="3" t="s">
        <v>58</v>
      </c>
      <c r="L1018" s="3" t="s">
        <v>763</v>
      </c>
      <c r="M1018" s="3" t="s">
        <v>58</v>
      </c>
      <c r="N1018" s="3" t="s">
        <v>4718</v>
      </c>
      <c r="O1018" s="3">
        <v>0</v>
      </c>
      <c r="P1018" s="3">
        <v>10</v>
      </c>
      <c r="Q1018" s="3" t="s">
        <v>60</v>
      </c>
      <c r="R1018" s="3" t="s">
        <v>61</v>
      </c>
      <c r="S1018" s="3">
        <v>13</v>
      </c>
      <c r="T1018" s="3">
        <v>1</v>
      </c>
      <c r="U1018" s="3">
        <v>12</v>
      </c>
      <c r="V1018" s="3">
        <v>11</v>
      </c>
      <c r="W1018" s="3">
        <v>8</v>
      </c>
      <c r="X1018" s="3" t="s">
        <v>147</v>
      </c>
      <c r="Y1018" s="3">
        <v>0</v>
      </c>
      <c r="Z1018" s="3">
        <v>8</v>
      </c>
      <c r="AA1018" s="3">
        <v>0</v>
      </c>
      <c r="AB1018" s="3">
        <v>1</v>
      </c>
      <c r="AC1018" s="3">
        <v>11</v>
      </c>
      <c r="AD1018" s="3">
        <v>7</v>
      </c>
      <c r="AE1018" s="3">
        <v>14</v>
      </c>
      <c r="AF1018" s="3" t="s">
        <v>0</v>
      </c>
      <c r="AG1018" s="3" t="s">
        <v>49</v>
      </c>
    </row>
    <row r="1019" spans="1:33" ht="63.75" x14ac:dyDescent="0.2">
      <c r="A1019" s="5" t="str">
        <f>HYPERLINK("http://www.patentics.cn/invokexml.do?sf=ShowPatent&amp;spn=CN102474474B&amp;sv=d6d2972cde913f2833fa5a5b7c27a19c","CN102474474B")</f>
        <v>CN102474474B</v>
      </c>
      <c r="B1019" s="3" t="s">
        <v>4719</v>
      </c>
      <c r="C1019" s="3" t="s">
        <v>4720</v>
      </c>
      <c r="D1019" s="3" t="s">
        <v>338</v>
      </c>
      <c r="E1019" s="3" t="s">
        <v>338</v>
      </c>
      <c r="F1019" s="3" t="s">
        <v>4721</v>
      </c>
      <c r="G1019" s="3" t="s">
        <v>1306</v>
      </c>
      <c r="H1019" s="3" t="s">
        <v>4717</v>
      </c>
      <c r="I1019" s="3" t="s">
        <v>4722</v>
      </c>
      <c r="J1019" s="3" t="s">
        <v>4723</v>
      </c>
      <c r="K1019" s="3" t="s">
        <v>58</v>
      </c>
      <c r="L1019" s="3" t="s">
        <v>4713</v>
      </c>
      <c r="M1019" s="3" t="s">
        <v>0</v>
      </c>
      <c r="N1019" s="3" t="s">
        <v>0</v>
      </c>
      <c r="O1019" s="3">
        <v>47</v>
      </c>
      <c r="P1019" s="3">
        <v>13</v>
      </c>
      <c r="Q1019" s="3" t="s">
        <v>60</v>
      </c>
      <c r="R1019" s="3" t="s">
        <v>61</v>
      </c>
      <c r="S1019" s="3">
        <v>8</v>
      </c>
      <c r="T1019" s="3">
        <v>0</v>
      </c>
      <c r="U1019" s="3">
        <v>8</v>
      </c>
      <c r="V1019" s="3">
        <v>8</v>
      </c>
      <c r="W1019" s="3">
        <v>8</v>
      </c>
      <c r="X1019" s="3" t="s">
        <v>147</v>
      </c>
      <c r="Y1019" s="3">
        <v>0</v>
      </c>
      <c r="Z1019" s="3">
        <v>8</v>
      </c>
      <c r="AA1019" s="3">
        <v>0</v>
      </c>
      <c r="AB1019" s="3">
        <v>1</v>
      </c>
      <c r="AC1019" s="3">
        <v>11</v>
      </c>
      <c r="AD1019" s="3">
        <v>7</v>
      </c>
      <c r="AE1019" s="3">
        <v>14</v>
      </c>
      <c r="AF1019" s="3" t="s">
        <v>0</v>
      </c>
      <c r="AG1019" s="3" t="s">
        <v>49</v>
      </c>
    </row>
    <row r="1020" spans="1:33" ht="38.25" x14ac:dyDescent="0.2">
      <c r="A1020" s="4" t="str">
        <f>HYPERLINK("http://www.patentics.cn/invokexml.do?sf=ShowPatent&amp;spn=WO2008000116&amp;sv=51ce23715728cdbd967c364b482b6c40","WO2008000116")</f>
        <v>WO2008000116</v>
      </c>
      <c r="B1020" s="2" t="s">
        <v>4724</v>
      </c>
      <c r="C1020" s="2" t="s">
        <v>4725</v>
      </c>
      <c r="D1020" s="2" t="s">
        <v>4726</v>
      </c>
      <c r="E1020" s="2" t="s">
        <v>4726</v>
      </c>
      <c r="F1020" s="2" t="s">
        <v>4727</v>
      </c>
      <c r="G1020" s="2" t="s">
        <v>4728</v>
      </c>
      <c r="H1020" s="2" t="s">
        <v>4729</v>
      </c>
      <c r="I1020" s="2" t="s">
        <v>4730</v>
      </c>
      <c r="J1020" s="2" t="s">
        <v>4731</v>
      </c>
      <c r="K1020" s="2" t="s">
        <v>70</v>
      </c>
      <c r="L1020" s="2" t="s">
        <v>3121</v>
      </c>
      <c r="M1020" s="2" t="s">
        <v>0</v>
      </c>
      <c r="N1020" s="2" t="s">
        <v>0</v>
      </c>
      <c r="O1020" s="2">
        <v>0</v>
      </c>
      <c r="P1020" s="2">
        <v>0</v>
      </c>
      <c r="Q1020" s="2" t="s">
        <v>352</v>
      </c>
      <c r="R1020" s="2" t="s">
        <v>47</v>
      </c>
      <c r="S1020" s="2">
        <v>3</v>
      </c>
      <c r="T1020" s="2">
        <v>0</v>
      </c>
      <c r="U1020" s="2">
        <v>3</v>
      </c>
      <c r="V1020" s="2">
        <v>3</v>
      </c>
      <c r="W1020" s="2">
        <v>8</v>
      </c>
      <c r="X1020" s="2" t="s">
        <v>4732</v>
      </c>
      <c r="Y1020" s="2">
        <v>0</v>
      </c>
      <c r="Z1020" s="2">
        <v>8</v>
      </c>
      <c r="AA1020" s="2">
        <v>4</v>
      </c>
      <c r="AB1020" s="2">
        <v>4</v>
      </c>
      <c r="AC1020" s="2">
        <v>1</v>
      </c>
      <c r="AD1020" s="2">
        <v>2</v>
      </c>
      <c r="AE1020" s="2" t="s">
        <v>0</v>
      </c>
      <c r="AF1020" s="2">
        <v>2</v>
      </c>
      <c r="AG1020" s="2" t="s">
        <v>0</v>
      </c>
    </row>
    <row r="1021" spans="1:33" ht="51" x14ac:dyDescent="0.2">
      <c r="A1021" s="5" t="str">
        <f>HYPERLINK("http://www.patentics.cn/invokexml.do?sf=ShowPatent&amp;spn=US8493835&amp;sv=55210cf062f808d99b01b1a3a2d99b73","US8493835")</f>
        <v>US8493835</v>
      </c>
      <c r="B1021" s="3" t="s">
        <v>4733</v>
      </c>
      <c r="C1021" s="3" t="s">
        <v>4734</v>
      </c>
      <c r="D1021" s="3" t="s">
        <v>52</v>
      </c>
      <c r="E1021" s="3" t="s">
        <v>52</v>
      </c>
      <c r="F1021" s="3" t="s">
        <v>4091</v>
      </c>
      <c r="G1021" s="3" t="s">
        <v>2871</v>
      </c>
      <c r="H1021" s="3" t="s">
        <v>4099</v>
      </c>
      <c r="I1021" s="3" t="s">
        <v>4735</v>
      </c>
      <c r="J1021" s="3" t="s">
        <v>3043</v>
      </c>
      <c r="K1021" s="3" t="s">
        <v>70</v>
      </c>
      <c r="L1021" s="3" t="s">
        <v>71</v>
      </c>
      <c r="M1021" s="3" t="s">
        <v>58</v>
      </c>
      <c r="N1021" s="3" t="s">
        <v>59</v>
      </c>
      <c r="O1021" s="3">
        <v>0</v>
      </c>
      <c r="P1021" s="3">
        <v>16</v>
      </c>
      <c r="Q1021" s="3" t="s">
        <v>60</v>
      </c>
      <c r="R1021" s="3" t="s">
        <v>61</v>
      </c>
      <c r="S1021" s="3">
        <v>17</v>
      </c>
      <c r="T1021" s="3">
        <v>2</v>
      </c>
      <c r="U1021" s="3">
        <v>15</v>
      </c>
      <c r="V1021" s="3">
        <v>10</v>
      </c>
      <c r="W1021" s="3">
        <v>5</v>
      </c>
      <c r="X1021" s="3" t="s">
        <v>4736</v>
      </c>
      <c r="Y1021" s="3">
        <v>2</v>
      </c>
      <c r="Z1021" s="3">
        <v>3</v>
      </c>
      <c r="AA1021" s="3">
        <v>4</v>
      </c>
      <c r="AB1021" s="3">
        <v>1</v>
      </c>
      <c r="AC1021" s="3">
        <v>27</v>
      </c>
      <c r="AD1021" s="3">
        <v>14</v>
      </c>
      <c r="AE1021" s="3">
        <v>14</v>
      </c>
      <c r="AF1021" s="3" t="s">
        <v>0</v>
      </c>
      <c r="AG1021" s="3" t="s">
        <v>49</v>
      </c>
    </row>
    <row r="1022" spans="1:33" ht="51" x14ac:dyDescent="0.2">
      <c r="A1022" s="5" t="str">
        <f>HYPERLINK("http://www.patentics.cn/invokexml.do?sf=ShowPatent&amp;spn=US9008024&amp;sv=2614ece9702f22d1cb3c4232c84f3f90","US9008024")</f>
        <v>US9008024</v>
      </c>
      <c r="B1022" s="3" t="s">
        <v>4737</v>
      </c>
      <c r="C1022" s="3" t="s">
        <v>4734</v>
      </c>
      <c r="D1022" s="3" t="s">
        <v>52</v>
      </c>
      <c r="E1022" s="3" t="s">
        <v>52</v>
      </c>
      <c r="F1022" s="3" t="s">
        <v>4091</v>
      </c>
      <c r="G1022" s="3" t="s">
        <v>2871</v>
      </c>
      <c r="H1022" s="3" t="s">
        <v>4099</v>
      </c>
      <c r="I1022" s="3" t="s">
        <v>4738</v>
      </c>
      <c r="J1022" s="3" t="s">
        <v>4739</v>
      </c>
      <c r="K1022" s="3" t="s">
        <v>82</v>
      </c>
      <c r="L1022" s="3" t="s">
        <v>244</v>
      </c>
      <c r="M1022" s="3" t="s">
        <v>58</v>
      </c>
      <c r="N1022" s="3" t="s">
        <v>59</v>
      </c>
      <c r="O1022" s="3">
        <v>0</v>
      </c>
      <c r="P1022" s="3">
        <v>16</v>
      </c>
      <c r="Q1022" s="3" t="s">
        <v>60</v>
      </c>
      <c r="R1022" s="3" t="s">
        <v>61</v>
      </c>
      <c r="S1022" s="3">
        <v>25</v>
      </c>
      <c r="T1022" s="3">
        <v>5</v>
      </c>
      <c r="U1022" s="3">
        <v>20</v>
      </c>
      <c r="V1022" s="3">
        <v>13</v>
      </c>
      <c r="W1022" s="3">
        <v>0</v>
      </c>
      <c r="X1022" s="3" t="s">
        <v>147</v>
      </c>
      <c r="Y1022" s="3">
        <v>0</v>
      </c>
      <c r="Z1022" s="3">
        <v>0</v>
      </c>
      <c r="AA1022" s="3">
        <v>0</v>
      </c>
      <c r="AB1022" s="3">
        <v>0</v>
      </c>
      <c r="AC1022" s="3">
        <v>27</v>
      </c>
      <c r="AD1022" s="3">
        <v>14</v>
      </c>
      <c r="AE1022" s="3">
        <v>14</v>
      </c>
      <c r="AF1022" s="3" t="s">
        <v>0</v>
      </c>
      <c r="AG1022" s="3" t="s">
        <v>49</v>
      </c>
    </row>
    <row r="1023" spans="1:33" ht="25.5" x14ac:dyDescent="0.2">
      <c r="A1023" s="4" t="str">
        <f>HYPERLINK("http://www.patentics.cn/invokexml.do?sf=ShowPatent&amp;spn=WO2007128182&amp;sv=b58c18399ae4f380b54eaa650e737fef","WO2007128182")</f>
        <v>WO2007128182</v>
      </c>
      <c r="B1023" s="2" t="s">
        <v>4740</v>
      </c>
      <c r="C1023" s="2" t="s">
        <v>4741</v>
      </c>
      <c r="D1023" s="2" t="s">
        <v>1394</v>
      </c>
      <c r="E1023" s="2" t="s">
        <v>1394</v>
      </c>
      <c r="F1023" s="2" t="s">
        <v>4742</v>
      </c>
      <c r="G1023" s="2" t="s">
        <v>4742</v>
      </c>
      <c r="H1023" s="2" t="s">
        <v>4743</v>
      </c>
      <c r="I1023" s="2" t="s">
        <v>4730</v>
      </c>
      <c r="J1023" s="2" t="s">
        <v>4744</v>
      </c>
      <c r="K1023" s="2" t="s">
        <v>82</v>
      </c>
      <c r="L1023" s="2" t="s">
        <v>997</v>
      </c>
      <c r="M1023" s="2" t="s">
        <v>0</v>
      </c>
      <c r="N1023" s="2" t="s">
        <v>0</v>
      </c>
      <c r="O1023" s="2">
        <v>0</v>
      </c>
      <c r="P1023" s="2">
        <v>0</v>
      </c>
      <c r="Q1023" s="2" t="s">
        <v>352</v>
      </c>
      <c r="R1023" s="2" t="s">
        <v>47</v>
      </c>
      <c r="S1023" s="2">
        <v>3</v>
      </c>
      <c r="T1023" s="2">
        <v>0</v>
      </c>
      <c r="U1023" s="2">
        <v>3</v>
      </c>
      <c r="V1023" s="2">
        <v>2</v>
      </c>
      <c r="W1023" s="2">
        <v>2</v>
      </c>
      <c r="X1023" s="2" t="s">
        <v>198</v>
      </c>
      <c r="Y1023" s="2">
        <v>0</v>
      </c>
      <c r="Z1023" s="2">
        <v>2</v>
      </c>
      <c r="AA1023" s="2">
        <v>1</v>
      </c>
      <c r="AB1023" s="2">
        <v>2</v>
      </c>
      <c r="AC1023" s="2">
        <v>2</v>
      </c>
      <c r="AD1023" s="2">
        <v>2</v>
      </c>
      <c r="AE1023" s="2" t="s">
        <v>0</v>
      </c>
      <c r="AF1023" s="2">
        <v>2</v>
      </c>
      <c r="AG1023" s="2" t="s">
        <v>0</v>
      </c>
    </row>
    <row r="1024" spans="1:33" ht="127.5" x14ac:dyDescent="0.2">
      <c r="A1024" s="5" t="str">
        <f>HYPERLINK("http://www.patentics.cn/invokexml.do?sf=ShowPatent&amp;spn=US9408207&amp;sv=f92ae6e8474e38f56b883058004f6d67","US9408207")</f>
        <v>US9408207</v>
      </c>
      <c r="B1024" s="3" t="s">
        <v>4745</v>
      </c>
      <c r="C1024" s="3" t="s">
        <v>4746</v>
      </c>
      <c r="D1024" s="3" t="s">
        <v>52</v>
      </c>
      <c r="E1024" s="3" t="s">
        <v>52</v>
      </c>
      <c r="F1024" s="3" t="s">
        <v>4747</v>
      </c>
      <c r="G1024" s="3" t="s">
        <v>4748</v>
      </c>
      <c r="H1024" s="3" t="s">
        <v>4749</v>
      </c>
      <c r="I1024" s="3" t="s">
        <v>3387</v>
      </c>
      <c r="J1024" s="3" t="s">
        <v>322</v>
      </c>
      <c r="K1024" s="3" t="s">
        <v>82</v>
      </c>
      <c r="L1024" s="3" t="s">
        <v>244</v>
      </c>
      <c r="M1024" s="3" t="s">
        <v>82</v>
      </c>
      <c r="N1024" s="3" t="s">
        <v>3536</v>
      </c>
      <c r="O1024" s="3">
        <v>0</v>
      </c>
      <c r="P1024" s="3">
        <v>18</v>
      </c>
      <c r="Q1024" s="3" t="s">
        <v>60</v>
      </c>
      <c r="R1024" s="3" t="s">
        <v>47</v>
      </c>
      <c r="S1024" s="3">
        <v>23</v>
      </c>
      <c r="T1024" s="3">
        <v>5</v>
      </c>
      <c r="U1024" s="3">
        <v>18</v>
      </c>
      <c r="V1024" s="3">
        <v>12</v>
      </c>
      <c r="W1024" s="3">
        <v>1</v>
      </c>
      <c r="X1024" s="3" t="s">
        <v>523</v>
      </c>
      <c r="Y1024" s="3">
        <v>0</v>
      </c>
      <c r="Z1024" s="3">
        <v>1</v>
      </c>
      <c r="AA1024" s="3">
        <v>1</v>
      </c>
      <c r="AB1024" s="3">
        <v>1</v>
      </c>
      <c r="AC1024" s="3">
        <v>5</v>
      </c>
      <c r="AD1024" s="3">
        <v>4</v>
      </c>
      <c r="AE1024" s="3">
        <v>14</v>
      </c>
      <c r="AF1024" s="3" t="s">
        <v>0</v>
      </c>
      <c r="AG1024" s="3" t="s">
        <v>49</v>
      </c>
    </row>
    <row r="1025" spans="1:33" ht="114.75" x14ac:dyDescent="0.2">
      <c r="A1025" s="5" t="str">
        <f>HYPERLINK("http://www.patentics.cn/invokexml.do?sf=ShowPatent&amp;spn=WO2014005258&amp;sv=848e40be30a3bf8bd94030fd9c704377","WO2014005258")</f>
        <v>WO2014005258</v>
      </c>
      <c r="B1025" s="3" t="s">
        <v>4750</v>
      </c>
      <c r="C1025" s="3" t="s">
        <v>4751</v>
      </c>
      <c r="D1025" s="3" t="s">
        <v>4752</v>
      </c>
      <c r="E1025" s="3" t="s">
        <v>4753</v>
      </c>
      <c r="F1025" s="3" t="s">
        <v>4754</v>
      </c>
      <c r="G1025" s="3" t="s">
        <v>4755</v>
      </c>
      <c r="H1025" s="3" t="s">
        <v>4749</v>
      </c>
      <c r="I1025" s="3" t="s">
        <v>4749</v>
      </c>
      <c r="J1025" s="3" t="s">
        <v>4756</v>
      </c>
      <c r="K1025" s="3" t="s">
        <v>58</v>
      </c>
      <c r="L1025" s="3" t="s">
        <v>613</v>
      </c>
      <c r="M1025" s="3" t="s">
        <v>0</v>
      </c>
      <c r="N1025" s="3" t="s">
        <v>0</v>
      </c>
      <c r="O1025" s="3">
        <v>24</v>
      </c>
      <c r="P1025" s="3">
        <v>10</v>
      </c>
      <c r="Q1025" s="3" t="s">
        <v>352</v>
      </c>
      <c r="R1025" s="3" t="s">
        <v>47</v>
      </c>
      <c r="S1025" s="3">
        <v>3</v>
      </c>
      <c r="T1025" s="3">
        <v>1</v>
      </c>
      <c r="U1025" s="3">
        <v>2</v>
      </c>
      <c r="V1025" s="3">
        <v>3</v>
      </c>
      <c r="W1025" s="3">
        <v>0</v>
      </c>
      <c r="X1025" s="3" t="s">
        <v>147</v>
      </c>
      <c r="Y1025" s="3">
        <v>0</v>
      </c>
      <c r="Z1025" s="3">
        <v>0</v>
      </c>
      <c r="AA1025" s="3">
        <v>0</v>
      </c>
      <c r="AB1025" s="3">
        <v>0</v>
      </c>
      <c r="AC1025" s="3">
        <v>5</v>
      </c>
      <c r="AD1025" s="3">
        <v>4</v>
      </c>
      <c r="AE1025" s="3">
        <v>14</v>
      </c>
      <c r="AF1025" s="3" t="s">
        <v>0</v>
      </c>
      <c r="AG1025" s="3" t="s">
        <v>0</v>
      </c>
    </row>
    <row r="1026" spans="1:33" ht="51" x14ac:dyDescent="0.2">
      <c r="A1026" s="4" t="str">
        <f>HYPERLINK("http://www.patentics.cn/invokexml.do?sf=ShowPatent&amp;spn=EP2728954&amp;sv=311136e1422ec37c352e6bd22c9521ed","EP2728954")</f>
        <v>EP2728954</v>
      </c>
      <c r="B1026" s="2" t="s">
        <v>4757</v>
      </c>
      <c r="C1026" s="2" t="s">
        <v>4758</v>
      </c>
      <c r="D1026" s="2" t="s">
        <v>346</v>
      </c>
      <c r="E1026" s="2" t="s">
        <v>346</v>
      </c>
      <c r="F1026" s="2" t="s">
        <v>4759</v>
      </c>
      <c r="G1026" s="2" t="s">
        <v>4760</v>
      </c>
      <c r="H1026" s="2" t="s">
        <v>4761</v>
      </c>
      <c r="I1026" s="2" t="s">
        <v>4762</v>
      </c>
      <c r="J1026" s="2" t="s">
        <v>2697</v>
      </c>
      <c r="K1026" s="2" t="s">
        <v>82</v>
      </c>
      <c r="L1026" s="2" t="s">
        <v>244</v>
      </c>
      <c r="M1026" s="2" t="s">
        <v>58</v>
      </c>
      <c r="N1026" s="2" t="s">
        <v>4763</v>
      </c>
      <c r="O1026" s="2">
        <v>27</v>
      </c>
      <c r="P1026" s="2">
        <v>16</v>
      </c>
      <c r="Q1026" s="2" t="s">
        <v>352</v>
      </c>
      <c r="R1026" s="2" t="s">
        <v>47</v>
      </c>
      <c r="S1026" s="2">
        <v>0</v>
      </c>
      <c r="T1026" s="2">
        <v>0</v>
      </c>
      <c r="U1026" s="2">
        <v>0</v>
      </c>
      <c r="V1026" s="2">
        <v>0</v>
      </c>
      <c r="W1026" s="2">
        <v>2</v>
      </c>
      <c r="X1026" s="2" t="s">
        <v>4764</v>
      </c>
      <c r="Y1026" s="2">
        <v>0</v>
      </c>
      <c r="Z1026" s="2">
        <v>2</v>
      </c>
      <c r="AA1026" s="2">
        <v>1</v>
      </c>
      <c r="AB1026" s="2">
        <v>2</v>
      </c>
      <c r="AC1026" s="2">
        <v>4</v>
      </c>
      <c r="AD1026" s="2">
        <v>4</v>
      </c>
      <c r="AE1026" s="2" t="s">
        <v>0</v>
      </c>
      <c r="AF1026" s="2">
        <v>2</v>
      </c>
      <c r="AG1026" s="2" t="s">
        <v>0</v>
      </c>
    </row>
    <row r="1027" spans="1:33" ht="76.5" x14ac:dyDescent="0.2">
      <c r="A1027" s="5" t="str">
        <f>HYPERLINK("http://www.patentics.cn/invokexml.do?sf=ShowPatent&amp;spn=US9258086&amp;sv=6070e925c815d26caa5e3e0406f26df3","US9258086")</f>
        <v>US9258086</v>
      </c>
      <c r="B1027" s="3" t="s">
        <v>4765</v>
      </c>
      <c r="C1027" s="3" t="s">
        <v>4766</v>
      </c>
      <c r="D1027" s="3" t="s">
        <v>52</v>
      </c>
      <c r="E1027" s="3" t="s">
        <v>52</v>
      </c>
      <c r="F1027" s="3" t="s">
        <v>4767</v>
      </c>
      <c r="G1027" s="3" t="s">
        <v>1091</v>
      </c>
      <c r="H1027" s="3" t="s">
        <v>1986</v>
      </c>
      <c r="I1027" s="3" t="s">
        <v>4768</v>
      </c>
      <c r="J1027" s="3" t="s">
        <v>4769</v>
      </c>
      <c r="K1027" s="3" t="s">
        <v>58</v>
      </c>
      <c r="L1027" s="3" t="s">
        <v>1980</v>
      </c>
      <c r="M1027" s="3" t="s">
        <v>58</v>
      </c>
      <c r="N1027" s="3" t="s">
        <v>4763</v>
      </c>
      <c r="O1027" s="3">
        <v>0</v>
      </c>
      <c r="P1027" s="3">
        <v>21</v>
      </c>
      <c r="Q1027" s="3" t="s">
        <v>60</v>
      </c>
      <c r="R1027" s="3" t="s">
        <v>61</v>
      </c>
      <c r="S1027" s="3">
        <v>14</v>
      </c>
      <c r="T1027" s="3">
        <v>3</v>
      </c>
      <c r="U1027" s="3">
        <v>11</v>
      </c>
      <c r="V1027" s="3">
        <v>6</v>
      </c>
      <c r="W1027" s="3">
        <v>8</v>
      </c>
      <c r="X1027" s="3" t="s">
        <v>147</v>
      </c>
      <c r="Y1027" s="3">
        <v>0</v>
      </c>
      <c r="Z1027" s="3">
        <v>8</v>
      </c>
      <c r="AA1027" s="3">
        <v>0</v>
      </c>
      <c r="AB1027" s="3">
        <v>1</v>
      </c>
      <c r="AC1027" s="3">
        <v>9</v>
      </c>
      <c r="AD1027" s="3">
        <v>8</v>
      </c>
      <c r="AE1027" s="3">
        <v>14</v>
      </c>
      <c r="AF1027" s="3" t="s">
        <v>0</v>
      </c>
      <c r="AG1027" s="3" t="s">
        <v>49</v>
      </c>
    </row>
    <row r="1028" spans="1:33" ht="76.5" x14ac:dyDescent="0.2">
      <c r="A1028" s="5" t="str">
        <f>HYPERLINK("http://www.patentics.cn/invokexml.do?sf=ShowPatent&amp;spn=EP2863572&amp;sv=c343f80a860ff0f327f5efff4f05272d","EP2863572")</f>
        <v>EP2863572</v>
      </c>
      <c r="B1028" s="3" t="s">
        <v>4770</v>
      </c>
      <c r="C1028" s="3" t="s">
        <v>4771</v>
      </c>
      <c r="D1028" s="3" t="s">
        <v>52</v>
      </c>
      <c r="E1028" s="3" t="s">
        <v>52</v>
      </c>
      <c r="F1028" s="3" t="s">
        <v>4772</v>
      </c>
      <c r="G1028" s="3" t="s">
        <v>4773</v>
      </c>
      <c r="H1028" s="3" t="s">
        <v>1986</v>
      </c>
      <c r="I1028" s="3" t="s">
        <v>2013</v>
      </c>
      <c r="J1028" s="3" t="s">
        <v>3985</v>
      </c>
      <c r="K1028" s="3" t="s">
        <v>58</v>
      </c>
      <c r="L1028" s="3" t="s">
        <v>1980</v>
      </c>
      <c r="M1028" s="3" t="s">
        <v>0</v>
      </c>
      <c r="N1028" s="3" t="s">
        <v>0</v>
      </c>
      <c r="O1028" s="3">
        <v>13</v>
      </c>
      <c r="P1028" s="3">
        <v>22</v>
      </c>
      <c r="Q1028" s="3" t="s">
        <v>352</v>
      </c>
      <c r="R1028" s="3" t="s">
        <v>61</v>
      </c>
      <c r="S1028" s="3">
        <v>2</v>
      </c>
      <c r="T1028" s="3">
        <v>0</v>
      </c>
      <c r="U1028" s="3">
        <v>2</v>
      </c>
      <c r="V1028" s="3">
        <v>2</v>
      </c>
      <c r="W1028" s="3">
        <v>8</v>
      </c>
      <c r="X1028" s="3" t="s">
        <v>147</v>
      </c>
      <c r="Y1028" s="3">
        <v>0</v>
      </c>
      <c r="Z1028" s="3">
        <v>8</v>
      </c>
      <c r="AA1028" s="3">
        <v>0</v>
      </c>
      <c r="AB1028" s="3">
        <v>1</v>
      </c>
      <c r="AC1028" s="3">
        <v>9</v>
      </c>
      <c r="AD1028" s="3">
        <v>8</v>
      </c>
      <c r="AE1028" s="3">
        <v>14</v>
      </c>
      <c r="AF1028" s="3" t="s">
        <v>0</v>
      </c>
      <c r="AG1028" s="3" t="s">
        <v>0</v>
      </c>
    </row>
    <row r="1029" spans="1:33" ht="140.25" x14ac:dyDescent="0.2">
      <c r="A1029" s="4" t="str">
        <f>HYPERLINK("http://www.patentics.cn/invokexml.do?sf=ShowPatent&amp;spn=EP2693819&amp;sv=f8a2ed1ff1557a6332f930e45f18d7bc","EP2693819")</f>
        <v>EP2693819</v>
      </c>
      <c r="B1029" s="2" t="s">
        <v>4774</v>
      </c>
      <c r="C1029" s="2" t="s">
        <v>4775</v>
      </c>
      <c r="D1029" s="2" t="s">
        <v>346</v>
      </c>
      <c r="E1029" s="2" t="s">
        <v>346</v>
      </c>
      <c r="F1029" s="2" t="s">
        <v>4776</v>
      </c>
      <c r="G1029" s="2" t="s">
        <v>4777</v>
      </c>
      <c r="H1029" s="2" t="s">
        <v>4778</v>
      </c>
      <c r="I1029" s="2" t="s">
        <v>4479</v>
      </c>
      <c r="J1029" s="2" t="s">
        <v>4779</v>
      </c>
      <c r="K1029" s="2" t="s">
        <v>82</v>
      </c>
      <c r="L1029" s="2" t="s">
        <v>244</v>
      </c>
      <c r="M1029" s="2" t="s">
        <v>82</v>
      </c>
      <c r="N1029" s="2" t="s">
        <v>1185</v>
      </c>
      <c r="O1029" s="2">
        <v>22</v>
      </c>
      <c r="P1029" s="2">
        <v>33</v>
      </c>
      <c r="Q1029" s="2" t="s">
        <v>352</v>
      </c>
      <c r="R1029" s="2" t="s">
        <v>47</v>
      </c>
      <c r="S1029" s="2">
        <v>1</v>
      </c>
      <c r="T1029" s="2">
        <v>0</v>
      </c>
      <c r="U1029" s="2">
        <v>1</v>
      </c>
      <c r="V1029" s="2">
        <v>1</v>
      </c>
      <c r="W1029" s="2">
        <v>3</v>
      </c>
      <c r="X1029" s="2" t="s">
        <v>4780</v>
      </c>
      <c r="Y1029" s="2">
        <v>0</v>
      </c>
      <c r="Z1029" s="2">
        <v>3</v>
      </c>
      <c r="AA1029" s="2">
        <v>2</v>
      </c>
      <c r="AB1029" s="2">
        <v>2</v>
      </c>
      <c r="AC1029" s="2">
        <v>4</v>
      </c>
      <c r="AD1029" s="2">
        <v>4</v>
      </c>
      <c r="AE1029" s="2" t="s">
        <v>0</v>
      </c>
      <c r="AF1029" s="2">
        <v>2</v>
      </c>
      <c r="AG1029" s="2" t="s">
        <v>0</v>
      </c>
    </row>
    <row r="1030" spans="1:33" ht="89.25" x14ac:dyDescent="0.2">
      <c r="A1030" s="5" t="str">
        <f>HYPERLINK("http://www.patentics.cn/invokexml.do?sf=ShowPatent&amp;spn=US9602322&amp;sv=b44edb3a7e43101a26af692640042729","US9602322")</f>
        <v>US9602322</v>
      </c>
      <c r="B1030" s="3" t="s">
        <v>4781</v>
      </c>
      <c r="C1030" s="3" t="s">
        <v>4782</v>
      </c>
      <c r="D1030" s="3" t="s">
        <v>52</v>
      </c>
      <c r="E1030" s="3" t="s">
        <v>52</v>
      </c>
      <c r="F1030" s="3" t="s">
        <v>4783</v>
      </c>
      <c r="G1030" s="3" t="s">
        <v>924</v>
      </c>
      <c r="H1030" s="3" t="s">
        <v>0</v>
      </c>
      <c r="I1030" s="3" t="s">
        <v>4217</v>
      </c>
      <c r="J1030" s="3" t="s">
        <v>739</v>
      </c>
      <c r="K1030" s="3" t="s">
        <v>58</v>
      </c>
      <c r="L1030" s="3" t="s">
        <v>94</v>
      </c>
      <c r="M1030" s="3" t="s">
        <v>58</v>
      </c>
      <c r="N1030" s="3" t="s">
        <v>4784</v>
      </c>
      <c r="O1030" s="3">
        <v>0</v>
      </c>
      <c r="P1030" s="3">
        <v>15</v>
      </c>
      <c r="Q1030" s="3" t="s">
        <v>60</v>
      </c>
      <c r="R1030" s="3" t="s">
        <v>61</v>
      </c>
      <c r="S1030" s="3">
        <v>11</v>
      </c>
      <c r="T1030" s="3">
        <v>1</v>
      </c>
      <c r="U1030" s="3">
        <v>10</v>
      </c>
      <c r="V1030" s="3">
        <v>8</v>
      </c>
      <c r="W1030" s="3">
        <v>0</v>
      </c>
      <c r="X1030" s="3" t="s">
        <v>147</v>
      </c>
      <c r="Y1030" s="3">
        <v>0</v>
      </c>
      <c r="Z1030" s="3">
        <v>0</v>
      </c>
      <c r="AA1030" s="3">
        <v>0</v>
      </c>
      <c r="AB1030" s="3">
        <v>0</v>
      </c>
      <c r="AC1030" s="3">
        <v>0</v>
      </c>
      <c r="AD1030" s="3">
        <v>0</v>
      </c>
      <c r="AE1030" s="3">
        <v>14</v>
      </c>
      <c r="AF1030" s="3" t="s">
        <v>0</v>
      </c>
      <c r="AG1030" s="3" t="s">
        <v>49</v>
      </c>
    </row>
    <row r="1031" spans="1:33" ht="63.75" x14ac:dyDescent="0.2">
      <c r="A1031" s="5" t="str">
        <f>HYPERLINK("http://www.patentics.cn/invokexml.do?sf=ShowPatent&amp;spn=WO2016019251&amp;sv=0e2cfc41a7ae607bdc2431e1f7ddaabf","WO2016019251")</f>
        <v>WO2016019251</v>
      </c>
      <c r="B1031" s="3" t="s">
        <v>4785</v>
      </c>
      <c r="C1031" s="3" t="s">
        <v>4786</v>
      </c>
      <c r="D1031" s="3" t="s">
        <v>52</v>
      </c>
      <c r="E1031" s="3" t="s">
        <v>52</v>
      </c>
      <c r="F1031" s="3" t="s">
        <v>4787</v>
      </c>
      <c r="G1031" s="3" t="s">
        <v>4693</v>
      </c>
      <c r="H1031" s="3" t="s">
        <v>4788</v>
      </c>
      <c r="I1031" s="3" t="s">
        <v>1159</v>
      </c>
      <c r="J1031" s="3" t="s">
        <v>4789</v>
      </c>
      <c r="K1031" s="3" t="s">
        <v>82</v>
      </c>
      <c r="L1031" s="3" t="s">
        <v>3335</v>
      </c>
      <c r="M1031" s="3" t="s">
        <v>0</v>
      </c>
      <c r="N1031" s="3" t="s">
        <v>0</v>
      </c>
      <c r="O1031" s="3">
        <v>11</v>
      </c>
      <c r="P1031" s="3">
        <v>15</v>
      </c>
      <c r="Q1031" s="3" t="s">
        <v>352</v>
      </c>
      <c r="R1031" s="3" t="s">
        <v>61</v>
      </c>
      <c r="S1031" s="3">
        <v>3</v>
      </c>
      <c r="T1031" s="3">
        <v>0</v>
      </c>
      <c r="U1031" s="3">
        <v>3</v>
      </c>
      <c r="V1031" s="3">
        <v>3</v>
      </c>
      <c r="W1031" s="3">
        <v>0</v>
      </c>
      <c r="X1031" s="3" t="s">
        <v>147</v>
      </c>
      <c r="Y1031" s="3">
        <v>0</v>
      </c>
      <c r="Z1031" s="3">
        <v>0</v>
      </c>
      <c r="AA1031" s="3">
        <v>0</v>
      </c>
      <c r="AB1031" s="3">
        <v>0</v>
      </c>
      <c r="AC1031" s="3">
        <v>1</v>
      </c>
      <c r="AD1031" s="3">
        <v>2</v>
      </c>
      <c r="AE1031" s="3">
        <v>14</v>
      </c>
      <c r="AF1031" s="3" t="s">
        <v>0</v>
      </c>
      <c r="AG1031" s="3" t="s">
        <v>0</v>
      </c>
    </row>
    <row r="1032" spans="1:33" ht="38.25" x14ac:dyDescent="0.2">
      <c r="A1032" s="4" t="str">
        <f>HYPERLINK("http://www.patentics.cn/invokexml.do?sf=ShowPatent&amp;spn=EP2566281&amp;sv=c9b06114e16a57d495acc5dcbb330221","EP2566281")</f>
        <v>EP2566281</v>
      </c>
      <c r="B1032" s="2" t="s">
        <v>4790</v>
      </c>
      <c r="C1032" s="2" t="s">
        <v>1688</v>
      </c>
      <c r="D1032" s="2" t="s">
        <v>346</v>
      </c>
      <c r="E1032" s="2" t="s">
        <v>346</v>
      </c>
      <c r="F1032" s="2" t="s">
        <v>4791</v>
      </c>
      <c r="G1032" s="2" t="s">
        <v>4792</v>
      </c>
      <c r="H1032" s="2" t="s">
        <v>1403</v>
      </c>
      <c r="I1032" s="2" t="s">
        <v>1692</v>
      </c>
      <c r="J1032" s="2" t="s">
        <v>4192</v>
      </c>
      <c r="K1032" s="2" t="s">
        <v>58</v>
      </c>
      <c r="L1032" s="2" t="s">
        <v>3167</v>
      </c>
      <c r="M1032" s="2" t="s">
        <v>58</v>
      </c>
      <c r="N1032" s="2" t="s">
        <v>4793</v>
      </c>
      <c r="O1032" s="2">
        <v>20</v>
      </c>
      <c r="P1032" s="2">
        <v>11</v>
      </c>
      <c r="Q1032" s="2" t="s">
        <v>352</v>
      </c>
      <c r="R1032" s="2" t="s">
        <v>47</v>
      </c>
      <c r="S1032" s="2">
        <v>0</v>
      </c>
      <c r="T1032" s="2">
        <v>0</v>
      </c>
      <c r="U1032" s="2">
        <v>0</v>
      </c>
      <c r="V1032" s="2">
        <v>0</v>
      </c>
      <c r="W1032" s="2">
        <v>2</v>
      </c>
      <c r="X1032" s="2" t="s">
        <v>403</v>
      </c>
      <c r="Y1032" s="2">
        <v>0</v>
      </c>
      <c r="Z1032" s="2">
        <v>2</v>
      </c>
      <c r="AA1032" s="2">
        <v>1</v>
      </c>
      <c r="AB1032" s="2">
        <v>1</v>
      </c>
      <c r="AC1032" s="2">
        <v>4</v>
      </c>
      <c r="AD1032" s="2">
        <v>4</v>
      </c>
      <c r="AE1032" s="2" t="s">
        <v>0</v>
      </c>
      <c r="AF1032" s="2">
        <v>2</v>
      </c>
      <c r="AG1032" s="2" t="s">
        <v>0</v>
      </c>
    </row>
    <row r="1033" spans="1:33" ht="140.25" x14ac:dyDescent="0.2">
      <c r="A1033" s="5" t="str">
        <f>HYPERLINK("http://www.patentics.cn/invokexml.do?sf=ShowPatent&amp;spn=US9047042&amp;sv=287fc24970231860a8b165022bffb77c","US9047042")</f>
        <v>US9047042</v>
      </c>
      <c r="B1033" s="3" t="s">
        <v>1696</v>
      </c>
      <c r="C1033" s="3" t="s">
        <v>1697</v>
      </c>
      <c r="D1033" s="3" t="s">
        <v>52</v>
      </c>
      <c r="E1033" s="3" t="s">
        <v>52</v>
      </c>
      <c r="F1033" s="3" t="s">
        <v>1698</v>
      </c>
      <c r="G1033" s="3" t="s">
        <v>1699</v>
      </c>
      <c r="H1033" s="3" t="s">
        <v>1700</v>
      </c>
      <c r="I1033" s="3" t="s">
        <v>1701</v>
      </c>
      <c r="J1033" s="3" t="s">
        <v>505</v>
      </c>
      <c r="K1033" s="3" t="s">
        <v>544</v>
      </c>
      <c r="L1033" s="3" t="s">
        <v>1702</v>
      </c>
      <c r="M1033" s="3" t="s">
        <v>555</v>
      </c>
      <c r="N1033" s="3" t="s">
        <v>1703</v>
      </c>
      <c r="O1033" s="3">
        <v>0</v>
      </c>
      <c r="P1033" s="3">
        <v>31</v>
      </c>
      <c r="Q1033" s="3" t="s">
        <v>60</v>
      </c>
      <c r="R1033" s="3" t="s">
        <v>61</v>
      </c>
      <c r="S1033" s="3">
        <v>42</v>
      </c>
      <c r="T1033" s="3">
        <v>3</v>
      </c>
      <c r="U1033" s="3">
        <v>39</v>
      </c>
      <c r="V1033" s="3">
        <v>23</v>
      </c>
      <c r="W1033" s="3">
        <v>1</v>
      </c>
      <c r="X1033" s="3" t="s">
        <v>1061</v>
      </c>
      <c r="Y1033" s="3">
        <v>0</v>
      </c>
      <c r="Z1033" s="3">
        <v>1</v>
      </c>
      <c r="AA1033" s="3">
        <v>1</v>
      </c>
      <c r="AB1033" s="3">
        <v>1</v>
      </c>
      <c r="AC1033" s="3">
        <v>6</v>
      </c>
      <c r="AD1033" s="3">
        <v>2</v>
      </c>
      <c r="AE1033" s="3">
        <v>14</v>
      </c>
      <c r="AF1033" s="3" t="s">
        <v>0</v>
      </c>
      <c r="AG1033" s="3" t="s">
        <v>49</v>
      </c>
    </row>
    <row r="1034" spans="1:33" ht="76.5" x14ac:dyDescent="0.2">
      <c r="A1034" s="5" t="str">
        <f>HYPERLINK("http://www.patentics.cn/invokexml.do?sf=ShowPatent&amp;spn=US9131266&amp;sv=0a18ea77b0c5da9359b91980c9694556","US9131266")</f>
        <v>US9131266</v>
      </c>
      <c r="B1034" s="3" t="s">
        <v>1704</v>
      </c>
      <c r="C1034" s="3" t="s">
        <v>1705</v>
      </c>
      <c r="D1034" s="3" t="s">
        <v>52</v>
      </c>
      <c r="E1034" s="3" t="s">
        <v>52</v>
      </c>
      <c r="F1034" s="3" t="s">
        <v>1706</v>
      </c>
      <c r="G1034" s="3" t="s">
        <v>1707</v>
      </c>
      <c r="H1034" s="3" t="s">
        <v>1708</v>
      </c>
      <c r="I1034" s="3" t="s">
        <v>1437</v>
      </c>
      <c r="J1034" s="3" t="s">
        <v>219</v>
      </c>
      <c r="K1034" s="3" t="s">
        <v>544</v>
      </c>
      <c r="L1034" s="3" t="s">
        <v>1709</v>
      </c>
      <c r="M1034" s="3" t="s">
        <v>0</v>
      </c>
      <c r="N1034" s="3" t="s">
        <v>0</v>
      </c>
      <c r="O1034" s="3">
        <v>0</v>
      </c>
      <c r="P1034" s="3">
        <v>13</v>
      </c>
      <c r="Q1034" s="3" t="s">
        <v>60</v>
      </c>
      <c r="R1034" s="3" t="s">
        <v>61</v>
      </c>
      <c r="S1034" s="3">
        <v>45</v>
      </c>
      <c r="T1034" s="3">
        <v>2</v>
      </c>
      <c r="U1034" s="3">
        <v>43</v>
      </c>
      <c r="V1034" s="3">
        <v>25</v>
      </c>
      <c r="W1034" s="3">
        <v>3</v>
      </c>
      <c r="X1034" s="3" t="s">
        <v>933</v>
      </c>
      <c r="Y1034" s="3">
        <v>3</v>
      </c>
      <c r="Z1034" s="3">
        <v>0</v>
      </c>
      <c r="AA1034" s="3">
        <v>1</v>
      </c>
      <c r="AB1034" s="3">
        <v>1</v>
      </c>
      <c r="AC1034" s="3">
        <v>5</v>
      </c>
      <c r="AD1034" s="3">
        <v>5</v>
      </c>
      <c r="AE1034" s="3">
        <v>14</v>
      </c>
      <c r="AF1034" s="3" t="s">
        <v>0</v>
      </c>
      <c r="AG1034" s="3" t="s">
        <v>49</v>
      </c>
    </row>
    <row r="1035" spans="1:33" ht="51" x14ac:dyDescent="0.2">
      <c r="A1035" s="4" t="str">
        <f>HYPERLINK("http://www.patentics.cn/invokexml.do?sf=ShowPatent&amp;spn=EP2482609&amp;sv=66d6e588367cb632496caa03938afdf8","EP2482609")</f>
        <v>EP2482609</v>
      </c>
      <c r="B1035" s="2" t="s">
        <v>4794</v>
      </c>
      <c r="C1035" s="2" t="s">
        <v>4795</v>
      </c>
      <c r="D1035" s="2" t="s">
        <v>346</v>
      </c>
      <c r="E1035" s="2" t="s">
        <v>346</v>
      </c>
      <c r="F1035" s="2" t="s">
        <v>4796</v>
      </c>
      <c r="G1035" s="2" t="s">
        <v>4797</v>
      </c>
      <c r="H1035" s="2" t="s">
        <v>4798</v>
      </c>
      <c r="I1035" s="2" t="s">
        <v>501</v>
      </c>
      <c r="J1035" s="2" t="s">
        <v>4191</v>
      </c>
      <c r="K1035" s="2" t="s">
        <v>82</v>
      </c>
      <c r="L1035" s="2" t="s">
        <v>244</v>
      </c>
      <c r="M1035" s="2" t="s">
        <v>58</v>
      </c>
      <c r="N1035" s="2" t="s">
        <v>4799</v>
      </c>
      <c r="O1035" s="2">
        <v>26</v>
      </c>
      <c r="P1035" s="2">
        <v>17</v>
      </c>
      <c r="Q1035" s="2" t="s">
        <v>352</v>
      </c>
      <c r="R1035" s="2" t="s">
        <v>47</v>
      </c>
      <c r="S1035" s="2">
        <v>0</v>
      </c>
      <c r="T1035" s="2">
        <v>0</v>
      </c>
      <c r="U1035" s="2">
        <v>0</v>
      </c>
      <c r="V1035" s="2">
        <v>0</v>
      </c>
      <c r="W1035" s="2">
        <v>3</v>
      </c>
      <c r="X1035" s="2" t="s">
        <v>3685</v>
      </c>
      <c r="Y1035" s="2">
        <v>0</v>
      </c>
      <c r="Z1035" s="2">
        <v>3</v>
      </c>
      <c r="AA1035" s="2">
        <v>2</v>
      </c>
      <c r="AB1035" s="2">
        <v>2</v>
      </c>
      <c r="AC1035" s="2">
        <v>11</v>
      </c>
      <c r="AD1035" s="2">
        <v>7</v>
      </c>
      <c r="AE1035" s="2" t="s">
        <v>0</v>
      </c>
      <c r="AF1035" s="2">
        <v>2</v>
      </c>
      <c r="AG1035" s="2" t="s">
        <v>0</v>
      </c>
    </row>
    <row r="1036" spans="1:33" ht="76.5" x14ac:dyDescent="0.2">
      <c r="A1036" s="5" t="str">
        <f>HYPERLINK("http://www.patentics.cn/invokexml.do?sf=ShowPatent&amp;spn=WO2013138389&amp;sv=6591d955e1744f8e36280b7544385797","WO2013138389")</f>
        <v>WO2013138389</v>
      </c>
      <c r="B1036" s="3" t="s">
        <v>4800</v>
      </c>
      <c r="C1036" s="3" t="s">
        <v>4801</v>
      </c>
      <c r="D1036" s="3" t="s">
        <v>52</v>
      </c>
      <c r="E1036" s="3" t="s">
        <v>52</v>
      </c>
      <c r="F1036" s="3" t="s">
        <v>4802</v>
      </c>
      <c r="G1036" s="3" t="s">
        <v>4607</v>
      </c>
      <c r="H1036" s="3" t="s">
        <v>4803</v>
      </c>
      <c r="I1036" s="3" t="s">
        <v>3338</v>
      </c>
      <c r="J1036" s="3" t="s">
        <v>4804</v>
      </c>
      <c r="K1036" s="3" t="s">
        <v>82</v>
      </c>
      <c r="L1036" s="3" t="s">
        <v>2457</v>
      </c>
      <c r="M1036" s="3" t="s">
        <v>0</v>
      </c>
      <c r="N1036" s="3" t="s">
        <v>0</v>
      </c>
      <c r="O1036" s="3">
        <v>66</v>
      </c>
      <c r="P1036" s="3">
        <v>5</v>
      </c>
      <c r="Q1036" s="3" t="s">
        <v>352</v>
      </c>
      <c r="R1036" s="3" t="s">
        <v>61</v>
      </c>
      <c r="S1036" s="3">
        <v>8</v>
      </c>
      <c r="T1036" s="3">
        <v>2</v>
      </c>
      <c r="U1036" s="3">
        <v>6</v>
      </c>
      <c r="V1036" s="3">
        <v>6</v>
      </c>
      <c r="W1036" s="3">
        <v>0</v>
      </c>
      <c r="X1036" s="3" t="s">
        <v>147</v>
      </c>
      <c r="Y1036" s="3">
        <v>0</v>
      </c>
      <c r="Z1036" s="3">
        <v>0</v>
      </c>
      <c r="AA1036" s="3">
        <v>0</v>
      </c>
      <c r="AB1036" s="3">
        <v>0</v>
      </c>
      <c r="AC1036" s="3">
        <v>6</v>
      </c>
      <c r="AD1036" s="3">
        <v>6</v>
      </c>
      <c r="AE1036" s="3">
        <v>14</v>
      </c>
      <c r="AF1036" s="3" t="s">
        <v>0</v>
      </c>
      <c r="AG1036" s="3" t="s">
        <v>0</v>
      </c>
    </row>
    <row r="1037" spans="1:33" ht="102" x14ac:dyDescent="0.2">
      <c r="A1037" s="5" t="str">
        <f>HYPERLINK("http://www.patentics.cn/invokexml.do?sf=ShowPatent&amp;spn=WO2013138389A3&amp;sv=02ed9ba2ab0c1c9119be1a3119b2f24c","WO2013138389A3")</f>
        <v>WO2013138389A3</v>
      </c>
      <c r="B1037" s="3" t="s">
        <v>4805</v>
      </c>
      <c r="C1037" s="3" t="s">
        <v>4806</v>
      </c>
      <c r="D1037" s="3" t="s">
        <v>52</v>
      </c>
      <c r="E1037" s="3" t="s">
        <v>52</v>
      </c>
      <c r="F1037" s="3" t="s">
        <v>4807</v>
      </c>
      <c r="G1037" s="3" t="s">
        <v>4808</v>
      </c>
      <c r="H1037" s="3" t="s">
        <v>4803</v>
      </c>
      <c r="I1037" s="3" t="s">
        <v>4803</v>
      </c>
      <c r="J1037" s="3" t="s">
        <v>4756</v>
      </c>
      <c r="K1037" s="3" t="s">
        <v>82</v>
      </c>
      <c r="L1037" s="3" t="s">
        <v>2457</v>
      </c>
      <c r="M1037" s="3" t="s">
        <v>82</v>
      </c>
      <c r="N1037" s="3" t="s">
        <v>82</v>
      </c>
      <c r="O1037" s="3">
        <v>0</v>
      </c>
      <c r="P1037" s="3">
        <v>0</v>
      </c>
      <c r="Q1037" s="3" t="s">
        <v>352</v>
      </c>
      <c r="R1037" s="3" t="s">
        <v>61</v>
      </c>
      <c r="S1037" s="3">
        <v>8</v>
      </c>
      <c r="T1037" s="3">
        <v>2</v>
      </c>
      <c r="U1037" s="3">
        <v>6</v>
      </c>
      <c r="V1037" s="3">
        <v>6</v>
      </c>
      <c r="W1037" s="3">
        <v>0</v>
      </c>
      <c r="X1037" s="3" t="s">
        <v>147</v>
      </c>
      <c r="Y1037" s="3">
        <v>0</v>
      </c>
      <c r="Z1037" s="3">
        <v>0</v>
      </c>
      <c r="AA1037" s="3">
        <v>0</v>
      </c>
      <c r="AB1037" s="3">
        <v>0</v>
      </c>
      <c r="AC1037" s="3">
        <v>6</v>
      </c>
      <c r="AD1037" s="3">
        <v>6</v>
      </c>
      <c r="AE1037" s="3">
        <v>14</v>
      </c>
      <c r="AF1037" s="3" t="s">
        <v>0</v>
      </c>
      <c r="AG1037" s="3" t="s">
        <v>0</v>
      </c>
    </row>
    <row r="1038" spans="1:33" ht="63.75" x14ac:dyDescent="0.2">
      <c r="A1038" s="4" t="str">
        <f>HYPERLINK("http://www.patentics.cn/invokexml.do?sf=ShowPatent&amp;spn=EP2475217&amp;sv=0ea2efb528078bfd8d490b8d07e2077a","EP2475217")</f>
        <v>EP2475217</v>
      </c>
      <c r="B1038" s="2" t="s">
        <v>4809</v>
      </c>
      <c r="C1038" s="2" t="s">
        <v>4810</v>
      </c>
      <c r="D1038" s="2" t="s">
        <v>346</v>
      </c>
      <c r="E1038" s="2" t="s">
        <v>346</v>
      </c>
      <c r="F1038" s="2" t="s">
        <v>4811</v>
      </c>
      <c r="G1038" s="2" t="s">
        <v>4812</v>
      </c>
      <c r="H1038" s="2" t="s">
        <v>4813</v>
      </c>
      <c r="I1038" s="2" t="s">
        <v>4814</v>
      </c>
      <c r="J1038" s="2" t="s">
        <v>4815</v>
      </c>
      <c r="K1038" s="2" t="s">
        <v>82</v>
      </c>
      <c r="L1038" s="2" t="s">
        <v>2047</v>
      </c>
      <c r="M1038" s="2" t="s">
        <v>58</v>
      </c>
      <c r="N1038" s="2" t="s">
        <v>2434</v>
      </c>
      <c r="O1038" s="2">
        <v>13</v>
      </c>
      <c r="P1038" s="2">
        <v>23</v>
      </c>
      <c r="Q1038" s="2" t="s">
        <v>352</v>
      </c>
      <c r="R1038" s="2" t="s">
        <v>47</v>
      </c>
      <c r="S1038" s="2">
        <v>0</v>
      </c>
      <c r="T1038" s="2">
        <v>0</v>
      </c>
      <c r="U1038" s="2">
        <v>0</v>
      </c>
      <c r="V1038" s="2">
        <v>0</v>
      </c>
      <c r="W1038" s="2">
        <v>6</v>
      </c>
      <c r="X1038" s="2" t="s">
        <v>4816</v>
      </c>
      <c r="Y1038" s="2">
        <v>0</v>
      </c>
      <c r="Z1038" s="2">
        <v>6</v>
      </c>
      <c r="AA1038" s="2">
        <v>3</v>
      </c>
      <c r="AB1038" s="2">
        <v>2</v>
      </c>
      <c r="AC1038" s="2">
        <v>5</v>
      </c>
      <c r="AD1038" s="2">
        <v>4</v>
      </c>
      <c r="AE1038" s="2" t="s">
        <v>0</v>
      </c>
      <c r="AF1038" s="2">
        <v>2</v>
      </c>
      <c r="AG1038" s="2" t="s">
        <v>0</v>
      </c>
    </row>
    <row r="1039" spans="1:33" ht="38.25" x14ac:dyDescent="0.2">
      <c r="A1039" s="5" t="str">
        <f>HYPERLINK("http://www.patentics.cn/invokexml.do?sf=ShowPatent&amp;spn=US9084147&amp;sv=5366b4c9e458766dca197aa0f9b865aa","US9084147")</f>
        <v>US9084147</v>
      </c>
      <c r="B1039" s="3" t="s">
        <v>4817</v>
      </c>
      <c r="C1039" s="3" t="s">
        <v>4818</v>
      </c>
      <c r="D1039" s="3" t="s">
        <v>52</v>
      </c>
      <c r="E1039" s="3" t="s">
        <v>52</v>
      </c>
      <c r="F1039" s="3" t="s">
        <v>4819</v>
      </c>
      <c r="G1039" s="3" t="s">
        <v>4819</v>
      </c>
      <c r="H1039" s="3" t="s">
        <v>4820</v>
      </c>
      <c r="I1039" s="3" t="s">
        <v>4821</v>
      </c>
      <c r="J1039" s="3" t="s">
        <v>2926</v>
      </c>
      <c r="K1039" s="3" t="s">
        <v>58</v>
      </c>
      <c r="L1039" s="3" t="s">
        <v>289</v>
      </c>
      <c r="M1039" s="3" t="s">
        <v>0</v>
      </c>
      <c r="N1039" s="3" t="s">
        <v>0</v>
      </c>
      <c r="O1039" s="3">
        <v>0</v>
      </c>
      <c r="P1039" s="3">
        <v>21</v>
      </c>
      <c r="Q1039" s="3" t="s">
        <v>60</v>
      </c>
      <c r="R1039" s="3" t="s">
        <v>61</v>
      </c>
      <c r="S1039" s="3">
        <v>23</v>
      </c>
      <c r="T1039" s="3">
        <v>7</v>
      </c>
      <c r="U1039" s="3">
        <v>16</v>
      </c>
      <c r="V1039" s="3">
        <v>10</v>
      </c>
      <c r="W1039" s="3">
        <v>0</v>
      </c>
      <c r="X1039" s="3" t="s">
        <v>147</v>
      </c>
      <c r="Y1039" s="3">
        <v>0</v>
      </c>
      <c r="Z1039" s="3">
        <v>0</v>
      </c>
      <c r="AA1039" s="3">
        <v>0</v>
      </c>
      <c r="AB1039" s="3">
        <v>0</v>
      </c>
      <c r="AC1039" s="3">
        <v>6</v>
      </c>
      <c r="AD1039" s="3">
        <v>5</v>
      </c>
      <c r="AE1039" s="3">
        <v>14</v>
      </c>
      <c r="AF1039" s="3" t="s">
        <v>0</v>
      </c>
      <c r="AG1039" s="3" t="s">
        <v>49</v>
      </c>
    </row>
    <row r="1040" spans="1:33" ht="38.25" x14ac:dyDescent="0.2">
      <c r="A1040" s="5" t="str">
        <f>HYPERLINK("http://www.patentics.cn/invokexml.do?sf=ShowPatent&amp;spn=WO2014182573&amp;sv=adf501fe7a62c168b5a3852da83e556d","WO2014182573")</f>
        <v>WO2014182573</v>
      </c>
      <c r="B1040" s="3" t="s">
        <v>4822</v>
      </c>
      <c r="C1040" s="3" t="s">
        <v>4823</v>
      </c>
      <c r="D1040" s="3" t="s">
        <v>52</v>
      </c>
      <c r="E1040" s="3" t="s">
        <v>52</v>
      </c>
      <c r="F1040" s="3" t="s">
        <v>4824</v>
      </c>
      <c r="G1040" s="3" t="s">
        <v>4824</v>
      </c>
      <c r="H1040" s="3" t="s">
        <v>4820</v>
      </c>
      <c r="I1040" s="3" t="s">
        <v>4825</v>
      </c>
      <c r="J1040" s="3" t="s">
        <v>2698</v>
      </c>
      <c r="K1040" s="3" t="s">
        <v>82</v>
      </c>
      <c r="L1040" s="3" t="s">
        <v>4826</v>
      </c>
      <c r="M1040" s="3" t="s">
        <v>0</v>
      </c>
      <c r="N1040" s="3" t="s">
        <v>0</v>
      </c>
      <c r="O1040" s="3">
        <v>56</v>
      </c>
      <c r="P1040" s="3">
        <v>6</v>
      </c>
      <c r="Q1040" s="3" t="s">
        <v>352</v>
      </c>
      <c r="R1040" s="3" t="s">
        <v>61</v>
      </c>
      <c r="S1040" s="3">
        <v>5</v>
      </c>
      <c r="T1040" s="3">
        <v>0</v>
      </c>
      <c r="U1040" s="3">
        <v>5</v>
      </c>
      <c r="V1040" s="3">
        <v>3</v>
      </c>
      <c r="W1040" s="3">
        <v>0</v>
      </c>
      <c r="X1040" s="3" t="s">
        <v>147</v>
      </c>
      <c r="Y1040" s="3">
        <v>0</v>
      </c>
      <c r="Z1040" s="3">
        <v>0</v>
      </c>
      <c r="AA1040" s="3">
        <v>0</v>
      </c>
      <c r="AB1040" s="3">
        <v>0</v>
      </c>
      <c r="AC1040" s="3">
        <v>6</v>
      </c>
      <c r="AD1040" s="3">
        <v>5</v>
      </c>
      <c r="AE1040" s="3">
        <v>14</v>
      </c>
      <c r="AF1040" s="3" t="s">
        <v>0</v>
      </c>
      <c r="AG1040" s="3" t="s">
        <v>0</v>
      </c>
    </row>
    <row r="1041" spans="1:33" ht="51" x14ac:dyDescent="0.2">
      <c r="A1041" s="4" t="str">
        <f>HYPERLINK("http://www.patentics.cn/invokexml.do?sf=ShowPatent&amp;spn=EP2466932&amp;sv=f33d8bdaf320afc58dc64df148a24c48","EP2466932")</f>
        <v>EP2466932</v>
      </c>
      <c r="B1041" s="2" t="s">
        <v>4827</v>
      </c>
      <c r="C1041" s="2" t="s">
        <v>4828</v>
      </c>
      <c r="D1041" s="2" t="s">
        <v>346</v>
      </c>
      <c r="E1041" s="2" t="s">
        <v>346</v>
      </c>
      <c r="F1041" s="2" t="s">
        <v>4829</v>
      </c>
      <c r="G1041" s="2" t="s">
        <v>4830</v>
      </c>
      <c r="H1041" s="2" t="s">
        <v>4674</v>
      </c>
      <c r="I1041" s="2" t="s">
        <v>1955</v>
      </c>
      <c r="J1041" s="2" t="s">
        <v>4831</v>
      </c>
      <c r="K1041" s="2" t="s">
        <v>82</v>
      </c>
      <c r="L1041" s="2" t="s">
        <v>4832</v>
      </c>
      <c r="M1041" s="2" t="s">
        <v>58</v>
      </c>
      <c r="N1041" s="2" t="s">
        <v>4833</v>
      </c>
      <c r="O1041" s="2">
        <v>27</v>
      </c>
      <c r="P1041" s="2">
        <v>8</v>
      </c>
      <c r="Q1041" s="2" t="s">
        <v>352</v>
      </c>
      <c r="R1041" s="2" t="s">
        <v>47</v>
      </c>
      <c r="S1041" s="2">
        <v>0</v>
      </c>
      <c r="T1041" s="2">
        <v>0</v>
      </c>
      <c r="U1041" s="2">
        <v>0</v>
      </c>
      <c r="V1041" s="2">
        <v>0</v>
      </c>
      <c r="W1041" s="2">
        <v>10</v>
      </c>
      <c r="X1041" s="2" t="s">
        <v>434</v>
      </c>
      <c r="Y1041" s="2">
        <v>2</v>
      </c>
      <c r="Z1041" s="2">
        <v>8</v>
      </c>
      <c r="AA1041" s="2">
        <v>2</v>
      </c>
      <c r="AB1041" s="2">
        <v>3</v>
      </c>
      <c r="AC1041" s="2">
        <v>9</v>
      </c>
      <c r="AD1041" s="2">
        <v>6</v>
      </c>
      <c r="AE1041" s="2" t="s">
        <v>0</v>
      </c>
      <c r="AF1041" s="2">
        <v>2</v>
      </c>
      <c r="AG1041" s="2" t="s">
        <v>0</v>
      </c>
    </row>
    <row r="1042" spans="1:33" ht="165.75" x14ac:dyDescent="0.2">
      <c r="A1042" s="5" t="str">
        <f>HYPERLINK("http://www.patentics.cn/invokexml.do?sf=ShowPatent&amp;spn=US9609144&amp;sv=d2d8a4286ecaca821cf90d4fa8705413","US9609144")</f>
        <v>US9609144</v>
      </c>
      <c r="B1042" s="3" t="s">
        <v>4834</v>
      </c>
      <c r="C1042" s="3" t="s">
        <v>4835</v>
      </c>
      <c r="D1042" s="3" t="s">
        <v>52</v>
      </c>
      <c r="E1042" s="3" t="s">
        <v>52</v>
      </c>
      <c r="F1042" s="3" t="s">
        <v>4836</v>
      </c>
      <c r="G1042" s="3" t="s">
        <v>4837</v>
      </c>
      <c r="H1042" s="3" t="s">
        <v>0</v>
      </c>
      <c r="I1042" s="3" t="s">
        <v>4838</v>
      </c>
      <c r="J1042" s="3" t="s">
        <v>3892</v>
      </c>
      <c r="K1042" s="3" t="s">
        <v>270</v>
      </c>
      <c r="L1042" s="3" t="s">
        <v>2336</v>
      </c>
      <c r="M1042" s="3" t="s">
        <v>270</v>
      </c>
      <c r="N1042" s="3" t="s">
        <v>4839</v>
      </c>
      <c r="O1042" s="3">
        <v>0</v>
      </c>
      <c r="P1042" s="3">
        <v>21</v>
      </c>
      <c r="Q1042" s="3" t="s">
        <v>60</v>
      </c>
      <c r="R1042" s="3" t="s">
        <v>61</v>
      </c>
      <c r="S1042" s="3">
        <v>20</v>
      </c>
      <c r="T1042" s="3">
        <v>0</v>
      </c>
      <c r="U1042" s="3">
        <v>20</v>
      </c>
      <c r="V1042" s="3">
        <v>15</v>
      </c>
      <c r="W1042" s="3">
        <v>0</v>
      </c>
      <c r="X1042" s="3" t="s">
        <v>147</v>
      </c>
      <c r="Y1042" s="3">
        <v>0</v>
      </c>
      <c r="Z1042" s="3">
        <v>0</v>
      </c>
      <c r="AA1042" s="3">
        <v>0</v>
      </c>
      <c r="AB1042" s="3">
        <v>0</v>
      </c>
      <c r="AC1042" s="3">
        <v>0</v>
      </c>
      <c r="AD1042" s="3">
        <v>0</v>
      </c>
      <c r="AE1042" s="3">
        <v>14</v>
      </c>
      <c r="AF1042" s="3" t="s">
        <v>0</v>
      </c>
      <c r="AG1042" s="3" t="s">
        <v>49</v>
      </c>
    </row>
    <row r="1043" spans="1:33" ht="127.5" x14ac:dyDescent="0.2">
      <c r="A1043" s="5" t="str">
        <f>HYPERLINK("http://www.patentics.cn/invokexml.do?sf=ShowPatent&amp;spn=WO2014179781&amp;sv=3ee498f6998a9cadc10fec37b7daf4f2","WO2014179781")</f>
        <v>WO2014179781</v>
      </c>
      <c r="B1043" s="3" t="s">
        <v>4840</v>
      </c>
      <c r="C1043" s="3" t="s">
        <v>4841</v>
      </c>
      <c r="D1043" s="3" t="s">
        <v>52</v>
      </c>
      <c r="E1043" s="3" t="s">
        <v>52</v>
      </c>
      <c r="F1043" s="3" t="s">
        <v>4842</v>
      </c>
      <c r="G1043" s="3" t="s">
        <v>4843</v>
      </c>
      <c r="H1043" s="3" t="s">
        <v>4062</v>
      </c>
      <c r="I1043" s="3" t="s">
        <v>4825</v>
      </c>
      <c r="J1043" s="3" t="s">
        <v>4844</v>
      </c>
      <c r="K1043" s="3" t="s">
        <v>58</v>
      </c>
      <c r="L1043" s="3" t="s">
        <v>4845</v>
      </c>
      <c r="M1043" s="3" t="s">
        <v>0</v>
      </c>
      <c r="N1043" s="3" t="s">
        <v>0</v>
      </c>
      <c r="O1043" s="3">
        <v>29</v>
      </c>
      <c r="P1043" s="3">
        <v>15</v>
      </c>
      <c r="Q1043" s="3" t="s">
        <v>352</v>
      </c>
      <c r="R1043" s="3" t="s">
        <v>61</v>
      </c>
      <c r="S1043" s="3">
        <v>4</v>
      </c>
      <c r="T1043" s="3">
        <v>0</v>
      </c>
      <c r="U1043" s="3">
        <v>4</v>
      </c>
      <c r="V1043" s="3">
        <v>3</v>
      </c>
      <c r="W1043" s="3">
        <v>13</v>
      </c>
      <c r="X1043" s="3" t="s">
        <v>147</v>
      </c>
      <c r="Y1043" s="3">
        <v>0</v>
      </c>
      <c r="Z1043" s="3">
        <v>13</v>
      </c>
      <c r="AA1043" s="3">
        <v>0</v>
      </c>
      <c r="AB1043" s="3">
        <v>1</v>
      </c>
      <c r="AC1043" s="3">
        <v>4</v>
      </c>
      <c r="AD1043" s="3">
        <v>5</v>
      </c>
      <c r="AE1043" s="3">
        <v>14</v>
      </c>
      <c r="AF1043" s="3" t="s">
        <v>0</v>
      </c>
      <c r="AG1043" s="3" t="s">
        <v>0</v>
      </c>
    </row>
    <row r="1044" spans="1:33" ht="51" x14ac:dyDescent="0.2">
      <c r="A1044" s="4" t="str">
        <f>HYPERLINK("http://www.patentics.cn/invokexml.do?sf=ShowPatent&amp;spn=EP2448304&amp;sv=8302e6d9de1fd680d9b3c2438a475447","EP2448304")</f>
        <v>EP2448304</v>
      </c>
      <c r="B1044" s="2" t="s">
        <v>4846</v>
      </c>
      <c r="C1044" s="2" t="s">
        <v>4847</v>
      </c>
      <c r="D1044" s="2" t="s">
        <v>346</v>
      </c>
      <c r="E1044" s="2" t="s">
        <v>346</v>
      </c>
      <c r="F1044" s="2" t="s">
        <v>4848</v>
      </c>
      <c r="G1044" s="2" t="s">
        <v>4849</v>
      </c>
      <c r="H1044" s="2" t="s">
        <v>4850</v>
      </c>
      <c r="I1044" s="2" t="s">
        <v>2866</v>
      </c>
      <c r="J1044" s="2" t="s">
        <v>4851</v>
      </c>
      <c r="K1044" s="2" t="s">
        <v>82</v>
      </c>
      <c r="L1044" s="2" t="s">
        <v>1294</v>
      </c>
      <c r="M1044" s="2" t="s">
        <v>82</v>
      </c>
      <c r="N1044" s="2" t="s">
        <v>4852</v>
      </c>
      <c r="O1044" s="2">
        <v>12</v>
      </c>
      <c r="P1044" s="2">
        <v>7</v>
      </c>
      <c r="Q1044" s="2" t="s">
        <v>352</v>
      </c>
      <c r="R1044" s="2" t="s">
        <v>47</v>
      </c>
      <c r="S1044" s="2">
        <v>0</v>
      </c>
      <c r="T1044" s="2">
        <v>0</v>
      </c>
      <c r="U1044" s="2">
        <v>0</v>
      </c>
      <c r="V1044" s="2">
        <v>0</v>
      </c>
      <c r="W1044" s="2">
        <v>12</v>
      </c>
      <c r="X1044" s="2" t="s">
        <v>2945</v>
      </c>
      <c r="Y1044" s="2">
        <v>0</v>
      </c>
      <c r="Z1044" s="2">
        <v>12</v>
      </c>
      <c r="AA1044" s="2">
        <v>1</v>
      </c>
      <c r="AB1044" s="2">
        <v>3</v>
      </c>
      <c r="AC1044" s="2">
        <v>8</v>
      </c>
      <c r="AD1044" s="2">
        <v>5</v>
      </c>
      <c r="AE1044" s="2" t="s">
        <v>0</v>
      </c>
      <c r="AF1044" s="2">
        <v>2</v>
      </c>
      <c r="AG1044" s="2" t="s">
        <v>0</v>
      </c>
    </row>
    <row r="1045" spans="1:33" ht="178.5" x14ac:dyDescent="0.2">
      <c r="A1045" s="5" t="str">
        <f>HYPERLINK("http://www.patentics.cn/invokexml.do?sf=ShowPatent&amp;spn=WO2014047545&amp;sv=c16002da5478359dce242bd7cd162206","WO2014047545")</f>
        <v>WO2014047545</v>
      </c>
      <c r="B1045" s="3" t="s">
        <v>4853</v>
      </c>
      <c r="C1045" s="3" t="s">
        <v>4854</v>
      </c>
      <c r="D1045" s="3" t="s">
        <v>52</v>
      </c>
      <c r="E1045" s="3" t="s">
        <v>52</v>
      </c>
      <c r="F1045" s="3" t="s">
        <v>4855</v>
      </c>
      <c r="G1045" s="3" t="s">
        <v>4856</v>
      </c>
      <c r="H1045" s="3" t="s">
        <v>4857</v>
      </c>
      <c r="I1045" s="3" t="s">
        <v>4858</v>
      </c>
      <c r="J1045" s="3" t="s">
        <v>4859</v>
      </c>
      <c r="K1045" s="3" t="s">
        <v>82</v>
      </c>
      <c r="L1045" s="3" t="s">
        <v>2015</v>
      </c>
      <c r="M1045" s="3" t="s">
        <v>0</v>
      </c>
      <c r="N1045" s="3" t="s">
        <v>0</v>
      </c>
      <c r="O1045" s="3">
        <v>40</v>
      </c>
      <c r="P1045" s="3">
        <v>14</v>
      </c>
      <c r="Q1045" s="3" t="s">
        <v>352</v>
      </c>
      <c r="R1045" s="3" t="s">
        <v>61</v>
      </c>
      <c r="S1045" s="3">
        <v>4</v>
      </c>
      <c r="T1045" s="3">
        <v>0</v>
      </c>
      <c r="U1045" s="3">
        <v>4</v>
      </c>
      <c r="V1045" s="3">
        <v>3</v>
      </c>
      <c r="W1045" s="3">
        <v>8</v>
      </c>
      <c r="X1045" s="3" t="s">
        <v>4860</v>
      </c>
      <c r="Y1045" s="3">
        <v>2</v>
      </c>
      <c r="Z1045" s="3">
        <v>6</v>
      </c>
      <c r="AA1045" s="3">
        <v>1</v>
      </c>
      <c r="AB1045" s="3">
        <v>3</v>
      </c>
      <c r="AC1045" s="3">
        <v>4</v>
      </c>
      <c r="AD1045" s="3">
        <v>5</v>
      </c>
      <c r="AE1045" s="3">
        <v>14</v>
      </c>
      <c r="AF1045" s="3" t="s">
        <v>0</v>
      </c>
      <c r="AG1045" s="3" t="s">
        <v>0</v>
      </c>
    </row>
    <row r="1046" spans="1:33" ht="153" x14ac:dyDescent="0.2">
      <c r="A1046" s="5" t="str">
        <f>HYPERLINK("http://www.patentics.cn/invokexml.do?sf=ShowPatent&amp;spn=TWI538446&amp;sv=87e798310ab2f3186084608c3d8d28c1","TWI538446")</f>
        <v>TWI538446</v>
      </c>
      <c r="B1046" s="3" t="s">
        <v>4861</v>
      </c>
      <c r="C1046" s="3" t="s">
        <v>4862</v>
      </c>
      <c r="D1046" s="3" t="s">
        <v>992</v>
      </c>
      <c r="E1046" s="3" t="s">
        <v>338</v>
      </c>
      <c r="F1046" s="3" t="s">
        <v>4863</v>
      </c>
      <c r="G1046" s="3" t="s">
        <v>4864</v>
      </c>
      <c r="H1046" s="3" t="s">
        <v>4857</v>
      </c>
      <c r="I1046" s="3" t="s">
        <v>4865</v>
      </c>
      <c r="J1046" s="3" t="s">
        <v>4866</v>
      </c>
      <c r="K1046" s="3" t="s">
        <v>58</v>
      </c>
      <c r="L1046" s="3" t="s">
        <v>4867</v>
      </c>
      <c r="M1046" s="3" t="s">
        <v>0</v>
      </c>
      <c r="N1046" s="3" t="s">
        <v>0</v>
      </c>
      <c r="O1046" s="3">
        <v>40</v>
      </c>
      <c r="P1046" s="3">
        <v>20</v>
      </c>
      <c r="Q1046" s="3" t="s">
        <v>60</v>
      </c>
      <c r="R1046" s="3" t="s">
        <v>1913</v>
      </c>
      <c r="S1046" s="3">
        <v>3</v>
      </c>
      <c r="T1046" s="3">
        <v>0</v>
      </c>
      <c r="U1046" s="3">
        <v>3</v>
      </c>
      <c r="V1046" s="3">
        <v>2</v>
      </c>
      <c r="W1046" s="3">
        <v>0</v>
      </c>
      <c r="X1046" s="3" t="s">
        <v>147</v>
      </c>
      <c r="Y1046" s="3">
        <v>0</v>
      </c>
      <c r="Z1046" s="3">
        <v>0</v>
      </c>
      <c r="AA1046" s="3">
        <v>0</v>
      </c>
      <c r="AB1046" s="3">
        <v>0</v>
      </c>
      <c r="AC1046" s="3">
        <v>0</v>
      </c>
      <c r="AD1046" s="3">
        <v>0</v>
      </c>
      <c r="AE1046" s="3">
        <v>14</v>
      </c>
      <c r="AF1046" s="3" t="s">
        <v>0</v>
      </c>
      <c r="AG1046" s="3" t="s">
        <v>0</v>
      </c>
    </row>
    <row r="1047" spans="1:33" ht="102" x14ac:dyDescent="0.2">
      <c r="A1047" s="4" t="str">
        <f>HYPERLINK("http://www.patentics.cn/invokexml.do?sf=ShowPatent&amp;spn=EP2381735&amp;sv=8d946c82c71c15e4ced4fc02be5c3040","EP2381735")</f>
        <v>EP2381735</v>
      </c>
      <c r="B1047" s="2" t="s">
        <v>4868</v>
      </c>
      <c r="C1047" s="2" t="s">
        <v>4869</v>
      </c>
      <c r="D1047" s="2" t="s">
        <v>346</v>
      </c>
      <c r="E1047" s="2" t="s">
        <v>346</v>
      </c>
      <c r="F1047" s="2" t="s">
        <v>4870</v>
      </c>
      <c r="G1047" s="2" t="s">
        <v>4871</v>
      </c>
      <c r="H1047" s="2" t="s">
        <v>536</v>
      </c>
      <c r="I1047" s="2" t="s">
        <v>4251</v>
      </c>
      <c r="J1047" s="2" t="s">
        <v>4872</v>
      </c>
      <c r="K1047" s="2" t="s">
        <v>58</v>
      </c>
      <c r="L1047" s="2" t="s">
        <v>1980</v>
      </c>
      <c r="M1047" s="2" t="s">
        <v>58</v>
      </c>
      <c r="N1047" s="2" t="s">
        <v>4763</v>
      </c>
      <c r="O1047" s="2">
        <v>13</v>
      </c>
      <c r="P1047" s="2">
        <v>21</v>
      </c>
      <c r="Q1047" s="2" t="s">
        <v>352</v>
      </c>
      <c r="R1047" s="2" t="s">
        <v>47</v>
      </c>
      <c r="S1047" s="2">
        <v>0</v>
      </c>
      <c r="T1047" s="2">
        <v>0</v>
      </c>
      <c r="U1047" s="2">
        <v>0</v>
      </c>
      <c r="V1047" s="2">
        <v>0</v>
      </c>
      <c r="W1047" s="2">
        <v>6</v>
      </c>
      <c r="X1047" s="2" t="s">
        <v>4873</v>
      </c>
      <c r="Y1047" s="2">
        <v>0</v>
      </c>
      <c r="Z1047" s="2">
        <v>6</v>
      </c>
      <c r="AA1047" s="2">
        <v>4</v>
      </c>
      <c r="AB1047" s="2">
        <v>2</v>
      </c>
      <c r="AC1047" s="2">
        <v>5</v>
      </c>
      <c r="AD1047" s="2">
        <v>4</v>
      </c>
      <c r="AE1047" s="2" t="s">
        <v>0</v>
      </c>
      <c r="AF1047" s="2">
        <v>2</v>
      </c>
      <c r="AG1047" s="2" t="s">
        <v>0</v>
      </c>
    </row>
    <row r="1048" spans="1:33" ht="76.5" x14ac:dyDescent="0.2">
      <c r="A1048" s="5" t="str">
        <f>HYPERLINK("http://www.patentics.cn/invokexml.do?sf=ShowPatent&amp;spn=US9014210&amp;sv=416d701c195568f3fcdca8077f617089","US9014210")</f>
        <v>US9014210</v>
      </c>
      <c r="B1048" s="3" t="s">
        <v>4874</v>
      </c>
      <c r="C1048" s="3" t="s">
        <v>4875</v>
      </c>
      <c r="D1048" s="3" t="s">
        <v>52</v>
      </c>
      <c r="E1048" s="3" t="s">
        <v>52</v>
      </c>
      <c r="F1048" s="3" t="s">
        <v>4876</v>
      </c>
      <c r="G1048" s="3" t="s">
        <v>1091</v>
      </c>
      <c r="H1048" s="3" t="s">
        <v>4877</v>
      </c>
      <c r="I1048" s="3" t="s">
        <v>4878</v>
      </c>
      <c r="J1048" s="3" t="s">
        <v>499</v>
      </c>
      <c r="K1048" s="3" t="s">
        <v>70</v>
      </c>
      <c r="L1048" s="3" t="s">
        <v>2535</v>
      </c>
      <c r="M1048" s="3" t="s">
        <v>58</v>
      </c>
      <c r="N1048" s="3" t="s">
        <v>4879</v>
      </c>
      <c r="O1048" s="3">
        <v>0</v>
      </c>
      <c r="P1048" s="3">
        <v>8</v>
      </c>
      <c r="Q1048" s="3" t="s">
        <v>60</v>
      </c>
      <c r="R1048" s="3" t="s">
        <v>61</v>
      </c>
      <c r="S1048" s="3">
        <v>12</v>
      </c>
      <c r="T1048" s="3">
        <v>0</v>
      </c>
      <c r="U1048" s="3">
        <v>12</v>
      </c>
      <c r="V1048" s="3">
        <v>10</v>
      </c>
      <c r="W1048" s="3">
        <v>8</v>
      </c>
      <c r="X1048" s="3" t="s">
        <v>147</v>
      </c>
      <c r="Y1048" s="3">
        <v>0</v>
      </c>
      <c r="Z1048" s="3">
        <v>8</v>
      </c>
      <c r="AA1048" s="3">
        <v>0</v>
      </c>
      <c r="AB1048" s="3">
        <v>1</v>
      </c>
      <c r="AC1048" s="3">
        <v>6</v>
      </c>
      <c r="AD1048" s="3">
        <v>6</v>
      </c>
      <c r="AE1048" s="3">
        <v>14</v>
      </c>
      <c r="AF1048" s="3" t="s">
        <v>0</v>
      </c>
      <c r="AG1048" s="3" t="s">
        <v>49</v>
      </c>
    </row>
    <row r="1049" spans="1:33" ht="89.25" x14ac:dyDescent="0.2">
      <c r="A1049" s="5" t="str">
        <f>HYPERLINK("http://www.patentics.cn/invokexml.do?sf=ShowPatent&amp;spn=WO2013067426&amp;sv=e1621fef4c4521a21c9542208f2d7d23","WO2013067426")</f>
        <v>WO2013067426</v>
      </c>
      <c r="B1049" s="3" t="s">
        <v>4880</v>
      </c>
      <c r="C1049" s="3" t="s">
        <v>4875</v>
      </c>
      <c r="D1049" s="3" t="s">
        <v>52</v>
      </c>
      <c r="E1049" s="3" t="s">
        <v>52</v>
      </c>
      <c r="F1049" s="3" t="s">
        <v>4881</v>
      </c>
      <c r="G1049" s="3" t="s">
        <v>4882</v>
      </c>
      <c r="H1049" s="3" t="s">
        <v>4877</v>
      </c>
      <c r="I1049" s="3" t="s">
        <v>3239</v>
      </c>
      <c r="J1049" s="3" t="s">
        <v>2725</v>
      </c>
      <c r="K1049" s="3" t="s">
        <v>58</v>
      </c>
      <c r="L1049" s="3" t="s">
        <v>1980</v>
      </c>
      <c r="M1049" s="3" t="s">
        <v>0</v>
      </c>
      <c r="N1049" s="3" t="s">
        <v>0</v>
      </c>
      <c r="O1049" s="3">
        <v>136</v>
      </c>
      <c r="P1049" s="3">
        <v>6</v>
      </c>
      <c r="Q1049" s="3" t="s">
        <v>352</v>
      </c>
      <c r="R1049" s="3" t="s">
        <v>61</v>
      </c>
      <c r="S1049" s="3">
        <v>1</v>
      </c>
      <c r="T1049" s="3">
        <v>0</v>
      </c>
      <c r="U1049" s="3">
        <v>1</v>
      </c>
      <c r="V1049" s="3">
        <v>1</v>
      </c>
      <c r="W1049" s="3">
        <v>8</v>
      </c>
      <c r="X1049" s="3" t="s">
        <v>147</v>
      </c>
      <c r="Y1049" s="3">
        <v>0</v>
      </c>
      <c r="Z1049" s="3">
        <v>8</v>
      </c>
      <c r="AA1049" s="3">
        <v>0</v>
      </c>
      <c r="AB1049" s="3">
        <v>1</v>
      </c>
      <c r="AC1049" s="3">
        <v>6</v>
      </c>
      <c r="AD1049" s="3">
        <v>6</v>
      </c>
      <c r="AE1049" s="3">
        <v>14</v>
      </c>
      <c r="AF1049" s="3" t="s">
        <v>0</v>
      </c>
      <c r="AG1049" s="3" t="s">
        <v>0</v>
      </c>
    </row>
    <row r="1050" spans="1:33" ht="63.75" x14ac:dyDescent="0.2">
      <c r="A1050" s="4" t="str">
        <f>HYPERLINK("http://www.patentics.cn/invokexml.do?sf=ShowPatent&amp;spn=EP2337384&amp;sv=7cf134083def673500c79aa1adbc0dd0","EP2337384")</f>
        <v>EP2337384</v>
      </c>
      <c r="B1050" s="2" t="s">
        <v>4883</v>
      </c>
      <c r="C1050" s="2" t="s">
        <v>4884</v>
      </c>
      <c r="D1050" s="2" t="s">
        <v>346</v>
      </c>
      <c r="E1050" s="2" t="s">
        <v>346</v>
      </c>
      <c r="F1050" s="2" t="s">
        <v>4885</v>
      </c>
      <c r="G1050" s="2" t="s">
        <v>4886</v>
      </c>
      <c r="H1050" s="2" t="s">
        <v>4887</v>
      </c>
      <c r="I1050" s="2" t="s">
        <v>1036</v>
      </c>
      <c r="J1050" s="2" t="s">
        <v>4888</v>
      </c>
      <c r="K1050" s="2" t="s">
        <v>82</v>
      </c>
      <c r="L1050" s="2" t="s">
        <v>4889</v>
      </c>
      <c r="M1050" s="2" t="s">
        <v>82</v>
      </c>
      <c r="N1050" s="2" t="s">
        <v>4890</v>
      </c>
      <c r="O1050" s="2">
        <v>10</v>
      </c>
      <c r="P1050" s="2">
        <v>17</v>
      </c>
      <c r="Q1050" s="2" t="s">
        <v>352</v>
      </c>
      <c r="R1050" s="2" t="s">
        <v>47</v>
      </c>
      <c r="S1050" s="2">
        <v>0</v>
      </c>
      <c r="T1050" s="2">
        <v>0</v>
      </c>
      <c r="U1050" s="2">
        <v>0</v>
      </c>
      <c r="V1050" s="2">
        <v>0</v>
      </c>
      <c r="W1050" s="2">
        <v>2</v>
      </c>
      <c r="X1050" s="2" t="s">
        <v>4891</v>
      </c>
      <c r="Y1050" s="2">
        <v>0</v>
      </c>
      <c r="Z1050" s="2">
        <v>2</v>
      </c>
      <c r="AA1050" s="2">
        <v>1</v>
      </c>
      <c r="AB1050" s="2">
        <v>2</v>
      </c>
      <c r="AC1050" s="2">
        <v>7</v>
      </c>
      <c r="AD1050" s="2">
        <v>5</v>
      </c>
      <c r="AE1050" s="2" t="s">
        <v>0</v>
      </c>
      <c r="AF1050" s="2">
        <v>2</v>
      </c>
      <c r="AG1050" s="2" t="s">
        <v>0</v>
      </c>
    </row>
    <row r="1051" spans="1:33" ht="76.5" x14ac:dyDescent="0.2">
      <c r="A1051" s="5" t="str">
        <f>HYPERLINK("http://www.patentics.cn/invokexml.do?sf=ShowPatent&amp;spn=US8885616&amp;sv=571fe10de31b61bc336630954647f789","US8885616")</f>
        <v>US8885616</v>
      </c>
      <c r="B1051" s="3" t="s">
        <v>4892</v>
      </c>
      <c r="C1051" s="3" t="s">
        <v>4893</v>
      </c>
      <c r="D1051" s="3" t="s">
        <v>52</v>
      </c>
      <c r="E1051" s="3" t="s">
        <v>52</v>
      </c>
      <c r="F1051" s="3" t="s">
        <v>4894</v>
      </c>
      <c r="G1051" s="3" t="s">
        <v>2752</v>
      </c>
      <c r="H1051" s="3" t="s">
        <v>4267</v>
      </c>
      <c r="I1051" s="3" t="s">
        <v>4815</v>
      </c>
      <c r="J1051" s="3" t="s">
        <v>196</v>
      </c>
      <c r="K1051" s="3" t="s">
        <v>82</v>
      </c>
      <c r="L1051" s="3" t="s">
        <v>244</v>
      </c>
      <c r="M1051" s="3" t="s">
        <v>58</v>
      </c>
      <c r="N1051" s="3" t="s">
        <v>335</v>
      </c>
      <c r="O1051" s="3">
        <v>0</v>
      </c>
      <c r="P1051" s="3">
        <v>10</v>
      </c>
      <c r="Q1051" s="3" t="s">
        <v>60</v>
      </c>
      <c r="R1051" s="3" t="s">
        <v>61</v>
      </c>
      <c r="S1051" s="3">
        <v>11</v>
      </c>
      <c r="T1051" s="3">
        <v>2</v>
      </c>
      <c r="U1051" s="3">
        <v>9</v>
      </c>
      <c r="V1051" s="3">
        <v>6</v>
      </c>
      <c r="W1051" s="3">
        <v>0</v>
      </c>
      <c r="X1051" s="3" t="s">
        <v>147</v>
      </c>
      <c r="Y1051" s="3">
        <v>0</v>
      </c>
      <c r="Z1051" s="3">
        <v>0</v>
      </c>
      <c r="AA1051" s="3">
        <v>0</v>
      </c>
      <c r="AB1051" s="3">
        <v>0</v>
      </c>
      <c r="AC1051" s="3">
        <v>6</v>
      </c>
      <c r="AD1051" s="3">
        <v>6</v>
      </c>
      <c r="AE1051" s="3">
        <v>14</v>
      </c>
      <c r="AF1051" s="3" t="s">
        <v>0</v>
      </c>
      <c r="AG1051" s="3" t="s">
        <v>49</v>
      </c>
    </row>
    <row r="1052" spans="1:33" ht="63.75" x14ac:dyDescent="0.2">
      <c r="A1052" s="5" t="str">
        <f>HYPERLINK("http://www.patentics.cn/invokexml.do?sf=ShowPatent&amp;spn=WO2013010030&amp;sv=0f7a30049d44007ebeca0d08b53d9c73","WO2013010030")</f>
        <v>WO2013010030</v>
      </c>
      <c r="B1052" s="3" t="s">
        <v>4895</v>
      </c>
      <c r="C1052" s="3" t="s">
        <v>4896</v>
      </c>
      <c r="D1052" s="3" t="s">
        <v>4897</v>
      </c>
      <c r="E1052" s="3" t="s">
        <v>4898</v>
      </c>
      <c r="F1052" s="3" t="s">
        <v>4899</v>
      </c>
      <c r="G1052" s="3" t="s">
        <v>2761</v>
      </c>
      <c r="H1052" s="3" t="s">
        <v>4267</v>
      </c>
      <c r="I1052" s="3" t="s">
        <v>1755</v>
      </c>
      <c r="J1052" s="3" t="s">
        <v>3162</v>
      </c>
      <c r="K1052" s="3" t="s">
        <v>58</v>
      </c>
      <c r="L1052" s="3" t="s">
        <v>188</v>
      </c>
      <c r="M1052" s="3" t="s">
        <v>0</v>
      </c>
      <c r="N1052" s="3" t="s">
        <v>0</v>
      </c>
      <c r="O1052" s="3">
        <v>52</v>
      </c>
      <c r="P1052" s="3">
        <v>12</v>
      </c>
      <c r="Q1052" s="3" t="s">
        <v>352</v>
      </c>
      <c r="R1052" s="3" t="s">
        <v>61</v>
      </c>
      <c r="S1052" s="3">
        <v>3</v>
      </c>
      <c r="T1052" s="3">
        <v>0</v>
      </c>
      <c r="U1052" s="3">
        <v>3</v>
      </c>
      <c r="V1052" s="3">
        <v>3</v>
      </c>
      <c r="W1052" s="3">
        <v>0</v>
      </c>
      <c r="X1052" s="3" t="s">
        <v>147</v>
      </c>
      <c r="Y1052" s="3">
        <v>0</v>
      </c>
      <c r="Z1052" s="3">
        <v>0</v>
      </c>
      <c r="AA1052" s="3">
        <v>0</v>
      </c>
      <c r="AB1052" s="3">
        <v>0</v>
      </c>
      <c r="AC1052" s="3">
        <v>6</v>
      </c>
      <c r="AD1052" s="3">
        <v>6</v>
      </c>
      <c r="AE1052" s="3">
        <v>14</v>
      </c>
      <c r="AF1052" s="3" t="s">
        <v>0</v>
      </c>
      <c r="AG1052" s="3" t="s">
        <v>0</v>
      </c>
    </row>
    <row r="1053" spans="1:33" ht="51" x14ac:dyDescent="0.2">
      <c r="A1053" s="4" t="str">
        <f>HYPERLINK("http://www.patentics.cn/invokexml.do?sf=ShowPatent&amp;spn=EP2328314&amp;sv=5099f365b5ef466cd8eac87e39e87e78","EP2328314")</f>
        <v>EP2328314</v>
      </c>
      <c r="B1053" s="2" t="s">
        <v>4900</v>
      </c>
      <c r="C1053" s="2" t="s">
        <v>2742</v>
      </c>
      <c r="D1053" s="2" t="s">
        <v>346</v>
      </c>
      <c r="E1053" s="2" t="s">
        <v>346</v>
      </c>
      <c r="F1053" s="2" t="s">
        <v>4901</v>
      </c>
      <c r="G1053" s="2" t="s">
        <v>1976</v>
      </c>
      <c r="H1053" s="2" t="s">
        <v>2746</v>
      </c>
      <c r="I1053" s="2" t="s">
        <v>1008</v>
      </c>
      <c r="J1053" s="2" t="s">
        <v>4902</v>
      </c>
      <c r="K1053" s="2" t="s">
        <v>58</v>
      </c>
      <c r="L1053" s="2" t="s">
        <v>326</v>
      </c>
      <c r="M1053" s="2" t="s">
        <v>82</v>
      </c>
      <c r="N1053" s="2" t="s">
        <v>1420</v>
      </c>
      <c r="O1053" s="2">
        <v>10</v>
      </c>
      <c r="P1053" s="2">
        <v>17</v>
      </c>
      <c r="Q1053" s="2" t="s">
        <v>352</v>
      </c>
      <c r="R1053" s="2" t="s">
        <v>47</v>
      </c>
      <c r="S1053" s="2">
        <v>0</v>
      </c>
      <c r="T1053" s="2">
        <v>0</v>
      </c>
      <c r="U1053" s="2">
        <v>0</v>
      </c>
      <c r="V1053" s="2">
        <v>0</v>
      </c>
      <c r="W1053" s="2">
        <v>5</v>
      </c>
      <c r="X1053" s="2" t="s">
        <v>4903</v>
      </c>
      <c r="Y1053" s="2">
        <v>0</v>
      </c>
      <c r="Z1053" s="2">
        <v>5</v>
      </c>
      <c r="AA1053" s="2">
        <v>3</v>
      </c>
      <c r="AB1053" s="2">
        <v>3</v>
      </c>
      <c r="AC1053" s="2">
        <v>8</v>
      </c>
      <c r="AD1053" s="2">
        <v>5</v>
      </c>
      <c r="AE1053" s="2" t="s">
        <v>0</v>
      </c>
      <c r="AF1053" s="2">
        <v>2</v>
      </c>
      <c r="AG1053" s="2" t="s">
        <v>0</v>
      </c>
    </row>
    <row r="1054" spans="1:33" ht="127.5" x14ac:dyDescent="0.2">
      <c r="A1054" s="5" t="str">
        <f>HYPERLINK("http://www.patentics.cn/invokexml.do?sf=ShowPatent&amp;spn=US9107186&amp;sv=8a78b379fb9099be6d98bd98f59764af","US9107186")</f>
        <v>US9107186</v>
      </c>
      <c r="B1054" s="3" t="s">
        <v>2749</v>
      </c>
      <c r="C1054" s="3" t="s">
        <v>2750</v>
      </c>
      <c r="D1054" s="3" t="s">
        <v>52</v>
      </c>
      <c r="E1054" s="3" t="s">
        <v>52</v>
      </c>
      <c r="F1054" s="3" t="s">
        <v>2751</v>
      </c>
      <c r="G1054" s="3" t="s">
        <v>2752</v>
      </c>
      <c r="H1054" s="3" t="s">
        <v>891</v>
      </c>
      <c r="I1054" s="3" t="s">
        <v>2753</v>
      </c>
      <c r="J1054" s="3" t="s">
        <v>927</v>
      </c>
      <c r="K1054" s="3" t="s">
        <v>82</v>
      </c>
      <c r="L1054" s="3" t="s">
        <v>226</v>
      </c>
      <c r="M1054" s="3" t="s">
        <v>0</v>
      </c>
      <c r="N1054" s="3" t="s">
        <v>0</v>
      </c>
      <c r="O1054" s="3">
        <v>0</v>
      </c>
      <c r="P1054" s="3">
        <v>19</v>
      </c>
      <c r="Q1054" s="3" t="s">
        <v>60</v>
      </c>
      <c r="R1054" s="3" t="s">
        <v>61</v>
      </c>
      <c r="S1054" s="3">
        <v>38</v>
      </c>
      <c r="T1054" s="3">
        <v>7</v>
      </c>
      <c r="U1054" s="3">
        <v>31</v>
      </c>
      <c r="V1054" s="3">
        <v>18</v>
      </c>
      <c r="W1054" s="3">
        <v>0</v>
      </c>
      <c r="X1054" s="3" t="s">
        <v>147</v>
      </c>
      <c r="Y1054" s="3">
        <v>0</v>
      </c>
      <c r="Z1054" s="3">
        <v>0</v>
      </c>
      <c r="AA1054" s="3">
        <v>0</v>
      </c>
      <c r="AB1054" s="3">
        <v>0</v>
      </c>
      <c r="AC1054" s="3">
        <v>8</v>
      </c>
      <c r="AD1054" s="3">
        <v>6</v>
      </c>
      <c r="AE1054" s="3">
        <v>14</v>
      </c>
      <c r="AF1054" s="3" t="s">
        <v>0</v>
      </c>
      <c r="AG1054" s="3" t="s">
        <v>49</v>
      </c>
    </row>
    <row r="1055" spans="1:33" ht="89.25" x14ac:dyDescent="0.2">
      <c r="A1055" s="5" t="str">
        <f>HYPERLINK("http://www.patentics.cn/invokexml.do?sf=ShowPatent&amp;spn=US9160592&amp;sv=427b99375643120d52ab55918d773190","US9160592")</f>
        <v>US9160592</v>
      </c>
      <c r="B1055" s="3" t="s">
        <v>2754</v>
      </c>
      <c r="C1055" s="3" t="s">
        <v>2755</v>
      </c>
      <c r="D1055" s="3" t="s">
        <v>52</v>
      </c>
      <c r="E1055" s="3" t="s">
        <v>52</v>
      </c>
      <c r="F1055" s="3" t="s">
        <v>2756</v>
      </c>
      <c r="G1055" s="3" t="s">
        <v>2752</v>
      </c>
      <c r="H1055" s="3" t="s">
        <v>891</v>
      </c>
      <c r="I1055" s="3" t="s">
        <v>1235</v>
      </c>
      <c r="J1055" s="3" t="s">
        <v>830</v>
      </c>
      <c r="K1055" s="3" t="s">
        <v>1246</v>
      </c>
      <c r="L1055" s="3" t="s">
        <v>1247</v>
      </c>
      <c r="M1055" s="3" t="s">
        <v>58</v>
      </c>
      <c r="N1055" s="3" t="s">
        <v>2466</v>
      </c>
      <c r="O1055" s="3">
        <v>0</v>
      </c>
      <c r="P1055" s="3">
        <v>26</v>
      </c>
      <c r="Q1055" s="3" t="s">
        <v>60</v>
      </c>
      <c r="R1055" s="3" t="s">
        <v>61</v>
      </c>
      <c r="S1055" s="3">
        <v>40</v>
      </c>
      <c r="T1055" s="3">
        <v>8</v>
      </c>
      <c r="U1055" s="3">
        <v>32</v>
      </c>
      <c r="V1055" s="3">
        <v>19</v>
      </c>
      <c r="W1055" s="3">
        <v>0</v>
      </c>
      <c r="X1055" s="3" t="s">
        <v>147</v>
      </c>
      <c r="Y1055" s="3">
        <v>0</v>
      </c>
      <c r="Z1055" s="3">
        <v>0</v>
      </c>
      <c r="AA1055" s="3">
        <v>0</v>
      </c>
      <c r="AB1055" s="3">
        <v>0</v>
      </c>
      <c r="AC1055" s="3">
        <v>7</v>
      </c>
      <c r="AD1055" s="3">
        <v>6</v>
      </c>
      <c r="AE1055" s="3">
        <v>14</v>
      </c>
      <c r="AF1055" s="3" t="s">
        <v>0</v>
      </c>
      <c r="AG1055" s="3" t="s">
        <v>49</v>
      </c>
    </row>
    <row r="1056" spans="1:33" ht="25.5" x14ac:dyDescent="0.2">
      <c r="A1056" s="4" t="str">
        <f>HYPERLINK("http://www.patentics.cn/invokexml.do?sf=ShowPatent&amp;spn=EP2306771&amp;sv=b75af6693b7032c2b43c2731d5a094f4","EP2306771")</f>
        <v>EP2306771</v>
      </c>
      <c r="B1056" s="2" t="s">
        <v>4904</v>
      </c>
      <c r="C1056" s="2" t="s">
        <v>4905</v>
      </c>
      <c r="D1056" s="2" t="s">
        <v>346</v>
      </c>
      <c r="E1056" s="2" t="s">
        <v>346</v>
      </c>
      <c r="F1056" s="2" t="s">
        <v>4906</v>
      </c>
      <c r="G1056" s="2" t="s">
        <v>4906</v>
      </c>
      <c r="H1056" s="2" t="s">
        <v>4221</v>
      </c>
      <c r="I1056" s="2" t="s">
        <v>4222</v>
      </c>
      <c r="J1056" s="2" t="s">
        <v>4907</v>
      </c>
      <c r="K1056" s="2" t="s">
        <v>82</v>
      </c>
      <c r="L1056" s="2" t="s">
        <v>2371</v>
      </c>
      <c r="M1056" s="2" t="s">
        <v>82</v>
      </c>
      <c r="N1056" s="2" t="s">
        <v>799</v>
      </c>
      <c r="O1056" s="2">
        <v>15</v>
      </c>
      <c r="P1056" s="2">
        <v>30</v>
      </c>
      <c r="Q1056" s="2" t="s">
        <v>352</v>
      </c>
      <c r="R1056" s="2" t="s">
        <v>47</v>
      </c>
      <c r="S1056" s="2">
        <v>0</v>
      </c>
      <c r="T1056" s="2">
        <v>0</v>
      </c>
      <c r="U1056" s="2">
        <v>0</v>
      </c>
      <c r="V1056" s="2">
        <v>0</v>
      </c>
      <c r="W1056" s="2">
        <v>2</v>
      </c>
      <c r="X1056" s="2" t="s">
        <v>3177</v>
      </c>
      <c r="Y1056" s="2">
        <v>0</v>
      </c>
      <c r="Z1056" s="2">
        <v>2</v>
      </c>
      <c r="AA1056" s="2">
        <v>1</v>
      </c>
      <c r="AB1056" s="2">
        <v>2</v>
      </c>
      <c r="AC1056" s="2">
        <v>10</v>
      </c>
      <c r="AD1056" s="2">
        <v>5</v>
      </c>
      <c r="AE1056" s="2" t="s">
        <v>0</v>
      </c>
      <c r="AF1056" s="2">
        <v>2</v>
      </c>
      <c r="AG1056" s="2" t="s">
        <v>0</v>
      </c>
    </row>
    <row r="1057" spans="1:33" ht="102" x14ac:dyDescent="0.2">
      <c r="A1057" s="5" t="str">
        <f>HYPERLINK("http://www.patentics.cn/invokexml.do?sf=ShowPatent&amp;spn=US8639258&amp;sv=59f3c8b01bbf6c9d5b0e82010869b20e","US8639258")</f>
        <v>US8639258</v>
      </c>
      <c r="B1057" s="3" t="s">
        <v>4908</v>
      </c>
      <c r="C1057" s="3" t="s">
        <v>4909</v>
      </c>
      <c r="D1057" s="3" t="s">
        <v>52</v>
      </c>
      <c r="E1057" s="3" t="s">
        <v>52</v>
      </c>
      <c r="F1057" s="3" t="s">
        <v>4910</v>
      </c>
      <c r="G1057" s="3" t="s">
        <v>4911</v>
      </c>
      <c r="H1057" s="3" t="s">
        <v>4912</v>
      </c>
      <c r="I1057" s="3" t="s">
        <v>4912</v>
      </c>
      <c r="J1057" s="3" t="s">
        <v>892</v>
      </c>
      <c r="K1057" s="3" t="s">
        <v>82</v>
      </c>
      <c r="L1057" s="3" t="s">
        <v>226</v>
      </c>
      <c r="M1057" s="3" t="s">
        <v>82</v>
      </c>
      <c r="N1057" s="3" t="s">
        <v>799</v>
      </c>
      <c r="O1057" s="3">
        <v>0</v>
      </c>
      <c r="P1057" s="3">
        <v>15</v>
      </c>
      <c r="Q1057" s="3" t="s">
        <v>60</v>
      </c>
      <c r="R1057" s="3" t="s">
        <v>61</v>
      </c>
      <c r="S1057" s="3">
        <v>3</v>
      </c>
      <c r="T1057" s="3">
        <v>1</v>
      </c>
      <c r="U1057" s="3">
        <v>2</v>
      </c>
      <c r="V1057" s="3">
        <v>3</v>
      </c>
      <c r="W1057" s="3">
        <v>0</v>
      </c>
      <c r="X1057" s="3" t="s">
        <v>147</v>
      </c>
      <c r="Y1057" s="3">
        <v>0</v>
      </c>
      <c r="Z1057" s="3">
        <v>0</v>
      </c>
      <c r="AA1057" s="3">
        <v>0</v>
      </c>
      <c r="AB1057" s="3">
        <v>0</v>
      </c>
      <c r="AC1057" s="3">
        <v>3</v>
      </c>
      <c r="AD1057" s="3">
        <v>3</v>
      </c>
      <c r="AE1057" s="3">
        <v>14</v>
      </c>
      <c r="AF1057" s="3" t="s">
        <v>0</v>
      </c>
      <c r="AG1057" s="3" t="s">
        <v>49</v>
      </c>
    </row>
    <row r="1058" spans="1:33" ht="89.25" x14ac:dyDescent="0.2">
      <c r="A1058" s="5" t="str">
        <f>HYPERLINK("http://www.patentics.cn/invokexml.do?sf=ShowPatent&amp;spn=WO2012170967&amp;sv=b716f04844a9f406ef3182b00b26cab0","WO2012170967")</f>
        <v>WO2012170967</v>
      </c>
      <c r="B1058" s="3" t="s">
        <v>4913</v>
      </c>
      <c r="C1058" s="3" t="s">
        <v>4914</v>
      </c>
      <c r="D1058" s="3" t="s">
        <v>4915</v>
      </c>
      <c r="E1058" s="3" t="s">
        <v>4916</v>
      </c>
      <c r="F1058" s="3" t="s">
        <v>4917</v>
      </c>
      <c r="G1058" s="3" t="s">
        <v>4918</v>
      </c>
      <c r="H1058" s="3" t="s">
        <v>4912</v>
      </c>
      <c r="I1058" s="3" t="s">
        <v>4919</v>
      </c>
      <c r="J1058" s="3" t="s">
        <v>4920</v>
      </c>
      <c r="K1058" s="3" t="s">
        <v>82</v>
      </c>
      <c r="L1058" s="3" t="s">
        <v>2215</v>
      </c>
      <c r="M1058" s="3" t="s">
        <v>0</v>
      </c>
      <c r="N1058" s="3" t="s">
        <v>0</v>
      </c>
      <c r="O1058" s="3">
        <v>72</v>
      </c>
      <c r="P1058" s="3">
        <v>6</v>
      </c>
      <c r="Q1058" s="3" t="s">
        <v>352</v>
      </c>
      <c r="R1058" s="3" t="s">
        <v>61</v>
      </c>
      <c r="S1058" s="3">
        <v>2</v>
      </c>
      <c r="T1058" s="3">
        <v>0</v>
      </c>
      <c r="U1058" s="3">
        <v>2</v>
      </c>
      <c r="V1058" s="3">
        <v>2</v>
      </c>
      <c r="W1058" s="3">
        <v>0</v>
      </c>
      <c r="X1058" s="3" t="s">
        <v>147</v>
      </c>
      <c r="Y1058" s="3">
        <v>0</v>
      </c>
      <c r="Z1058" s="3">
        <v>0</v>
      </c>
      <c r="AA1058" s="3">
        <v>0</v>
      </c>
      <c r="AB1058" s="3">
        <v>0</v>
      </c>
      <c r="AC1058" s="3">
        <v>3</v>
      </c>
      <c r="AD1058" s="3">
        <v>3</v>
      </c>
      <c r="AE1058" s="3">
        <v>14</v>
      </c>
      <c r="AF1058" s="3" t="s">
        <v>0</v>
      </c>
      <c r="AG1058" s="3" t="s">
        <v>0</v>
      </c>
    </row>
    <row r="1059" spans="1:33" ht="63.75" x14ac:dyDescent="0.2">
      <c r="A1059" s="4" t="str">
        <f>HYPERLINK("http://www.patentics.cn/invokexml.do?sf=ShowPatent&amp;spn=EP2061265&amp;sv=3cca020ee59dbdc74fac8d9e24a23b5e","EP2061265")</f>
        <v>EP2061265</v>
      </c>
      <c r="B1059" s="2" t="s">
        <v>4921</v>
      </c>
      <c r="C1059" s="2" t="s">
        <v>4922</v>
      </c>
      <c r="D1059" s="2" t="s">
        <v>346</v>
      </c>
      <c r="E1059" s="2" t="s">
        <v>346</v>
      </c>
      <c r="F1059" s="2" t="s">
        <v>4923</v>
      </c>
      <c r="G1059" s="2" t="s">
        <v>3564</v>
      </c>
      <c r="H1059" s="2" t="s">
        <v>4924</v>
      </c>
      <c r="I1059" s="2" t="s">
        <v>4925</v>
      </c>
      <c r="J1059" s="2" t="s">
        <v>4926</v>
      </c>
      <c r="K1059" s="2" t="s">
        <v>82</v>
      </c>
      <c r="L1059" s="2" t="s">
        <v>997</v>
      </c>
      <c r="M1059" s="2" t="s">
        <v>82</v>
      </c>
      <c r="N1059" s="2" t="s">
        <v>4927</v>
      </c>
      <c r="O1059" s="2">
        <v>15</v>
      </c>
      <c r="P1059" s="2">
        <v>16</v>
      </c>
      <c r="Q1059" s="2" t="s">
        <v>352</v>
      </c>
      <c r="R1059" s="2" t="s">
        <v>47</v>
      </c>
      <c r="S1059" s="2">
        <v>2</v>
      </c>
      <c r="T1059" s="2">
        <v>0</v>
      </c>
      <c r="U1059" s="2">
        <v>2</v>
      </c>
      <c r="V1059" s="2">
        <v>2</v>
      </c>
      <c r="W1059" s="2">
        <v>5</v>
      </c>
      <c r="X1059" s="2" t="s">
        <v>4928</v>
      </c>
      <c r="Y1059" s="2">
        <v>0</v>
      </c>
      <c r="Z1059" s="2">
        <v>5</v>
      </c>
      <c r="AA1059" s="2">
        <v>4</v>
      </c>
      <c r="AB1059" s="2">
        <v>3</v>
      </c>
      <c r="AC1059" s="2">
        <v>13</v>
      </c>
      <c r="AD1059" s="2">
        <v>6</v>
      </c>
      <c r="AE1059" s="2" t="s">
        <v>0</v>
      </c>
      <c r="AF1059" s="2">
        <v>2</v>
      </c>
      <c r="AG1059" s="2" t="s">
        <v>0</v>
      </c>
    </row>
    <row r="1060" spans="1:33" ht="51" x14ac:dyDescent="0.2">
      <c r="A1060" s="5" t="str">
        <f>HYPERLINK("http://www.patentics.cn/invokexml.do?sf=ShowPatent&amp;spn=WO2011146539&amp;sv=12aabf2d227a52d7ef473e17551c70f9","WO2011146539")</f>
        <v>WO2011146539</v>
      </c>
      <c r="B1060" s="3" t="s">
        <v>4929</v>
      </c>
      <c r="C1060" s="3" t="s">
        <v>4930</v>
      </c>
      <c r="D1060" s="3" t="s">
        <v>1484</v>
      </c>
      <c r="E1060" s="3" t="s">
        <v>1485</v>
      </c>
      <c r="F1060" s="3" t="s">
        <v>1486</v>
      </c>
      <c r="G1060" s="3" t="s">
        <v>1487</v>
      </c>
      <c r="H1060" s="3" t="s">
        <v>632</v>
      </c>
      <c r="I1060" s="3" t="s">
        <v>3351</v>
      </c>
      <c r="J1060" s="3" t="s">
        <v>2905</v>
      </c>
      <c r="K1060" s="3" t="s">
        <v>82</v>
      </c>
      <c r="L1060" s="3" t="s">
        <v>997</v>
      </c>
      <c r="M1060" s="3" t="s">
        <v>0</v>
      </c>
      <c r="N1060" s="3" t="s">
        <v>0</v>
      </c>
      <c r="O1060" s="3">
        <v>48</v>
      </c>
      <c r="P1060" s="3">
        <v>9</v>
      </c>
      <c r="Q1060" s="3" t="s">
        <v>352</v>
      </c>
      <c r="R1060" s="3" t="s">
        <v>61</v>
      </c>
      <c r="S1060" s="3">
        <v>3</v>
      </c>
      <c r="T1060" s="3">
        <v>1</v>
      </c>
      <c r="U1060" s="3">
        <v>2</v>
      </c>
      <c r="V1060" s="3">
        <v>3</v>
      </c>
      <c r="W1060" s="3">
        <v>2</v>
      </c>
      <c r="X1060" s="3" t="s">
        <v>1171</v>
      </c>
      <c r="Y1060" s="3">
        <v>0</v>
      </c>
      <c r="Z1060" s="3">
        <v>2</v>
      </c>
      <c r="AA1060" s="3">
        <v>1</v>
      </c>
      <c r="AB1060" s="3">
        <v>2</v>
      </c>
      <c r="AC1060" s="3">
        <v>3</v>
      </c>
      <c r="AD1060" s="3">
        <v>4</v>
      </c>
      <c r="AE1060" s="3">
        <v>14</v>
      </c>
      <c r="AF1060" s="3" t="s">
        <v>0</v>
      </c>
      <c r="AG1060" s="3" t="s">
        <v>0</v>
      </c>
    </row>
    <row r="1061" spans="1:33" ht="63.75" x14ac:dyDescent="0.2">
      <c r="A1061" s="5" t="str">
        <f>HYPERLINK("http://www.patentics.cn/invokexml.do?sf=ShowPatent&amp;spn=WO2015061045&amp;sv=9201a50e2f2aeee715404111d086dc9c","WO2015061045")</f>
        <v>WO2015061045</v>
      </c>
      <c r="B1061" s="3" t="s">
        <v>4931</v>
      </c>
      <c r="C1061" s="3" t="s">
        <v>4932</v>
      </c>
      <c r="D1061" s="3" t="s">
        <v>52</v>
      </c>
      <c r="E1061" s="3" t="s">
        <v>52</v>
      </c>
      <c r="F1061" s="3" t="s">
        <v>3582</v>
      </c>
      <c r="G1061" s="3" t="s">
        <v>3583</v>
      </c>
      <c r="H1061" s="3" t="s">
        <v>4933</v>
      </c>
      <c r="I1061" s="3" t="s">
        <v>4934</v>
      </c>
      <c r="J1061" s="3" t="s">
        <v>4935</v>
      </c>
      <c r="K1061" s="3" t="s">
        <v>82</v>
      </c>
      <c r="L1061" s="3" t="s">
        <v>997</v>
      </c>
      <c r="M1061" s="3" t="s">
        <v>0</v>
      </c>
      <c r="N1061" s="3" t="s">
        <v>0</v>
      </c>
      <c r="O1061" s="3">
        <v>20</v>
      </c>
      <c r="P1061" s="3">
        <v>10</v>
      </c>
      <c r="Q1061" s="3" t="s">
        <v>352</v>
      </c>
      <c r="R1061" s="3" t="s">
        <v>61</v>
      </c>
      <c r="S1061" s="3">
        <v>3</v>
      </c>
      <c r="T1061" s="3">
        <v>1</v>
      </c>
      <c r="U1061" s="3">
        <v>2</v>
      </c>
      <c r="V1061" s="3">
        <v>3</v>
      </c>
      <c r="W1061" s="3">
        <v>0</v>
      </c>
      <c r="X1061" s="3" t="s">
        <v>147</v>
      </c>
      <c r="Y1061" s="3">
        <v>0</v>
      </c>
      <c r="Z1061" s="3">
        <v>0</v>
      </c>
      <c r="AA1061" s="3">
        <v>0</v>
      </c>
      <c r="AB1061" s="3">
        <v>0</v>
      </c>
      <c r="AC1061" s="3">
        <v>1</v>
      </c>
      <c r="AD1061" s="3">
        <v>2</v>
      </c>
      <c r="AE1061" s="3">
        <v>14</v>
      </c>
      <c r="AF1061" s="3" t="s">
        <v>0</v>
      </c>
      <c r="AG1061" s="3" t="s">
        <v>0</v>
      </c>
    </row>
    <row r="1062" spans="1:33" ht="89.25" x14ac:dyDescent="0.2">
      <c r="A1062" s="4" t="str">
        <f>HYPERLINK("http://www.patentics.cn/invokexml.do?sf=ShowPatent&amp;spn=EP1916790&amp;sv=ea5912168122520214fe54c1eb16b1db","EP1916790")</f>
        <v>EP1916790</v>
      </c>
      <c r="B1062" s="2" t="s">
        <v>4936</v>
      </c>
      <c r="C1062" s="2" t="s">
        <v>4937</v>
      </c>
      <c r="D1062" s="2" t="s">
        <v>346</v>
      </c>
      <c r="E1062" s="2" t="s">
        <v>346</v>
      </c>
      <c r="F1062" s="2" t="s">
        <v>4938</v>
      </c>
      <c r="G1062" s="2" t="s">
        <v>2797</v>
      </c>
      <c r="H1062" s="2" t="s">
        <v>4939</v>
      </c>
      <c r="I1062" s="2" t="s">
        <v>1892</v>
      </c>
      <c r="J1062" s="2" t="s">
        <v>492</v>
      </c>
      <c r="K1062" s="2" t="s">
        <v>84</v>
      </c>
      <c r="L1062" s="2" t="s">
        <v>1300</v>
      </c>
      <c r="M1062" s="2" t="s">
        <v>58</v>
      </c>
      <c r="N1062" s="2" t="s">
        <v>512</v>
      </c>
      <c r="O1062" s="2">
        <v>18</v>
      </c>
      <c r="P1062" s="2">
        <v>26</v>
      </c>
      <c r="Q1062" s="2" t="s">
        <v>352</v>
      </c>
      <c r="R1062" s="2" t="s">
        <v>47</v>
      </c>
      <c r="S1062" s="2">
        <v>0</v>
      </c>
      <c r="T1062" s="2">
        <v>0</v>
      </c>
      <c r="U1062" s="2">
        <v>0</v>
      </c>
      <c r="V1062" s="2">
        <v>0</v>
      </c>
      <c r="W1062" s="2">
        <v>10</v>
      </c>
      <c r="X1062" s="2" t="s">
        <v>4940</v>
      </c>
      <c r="Y1062" s="2">
        <v>2</v>
      </c>
      <c r="Z1062" s="2">
        <v>8</v>
      </c>
      <c r="AA1062" s="2">
        <v>6</v>
      </c>
      <c r="AB1062" s="2">
        <v>4</v>
      </c>
      <c r="AC1062" s="2">
        <v>9</v>
      </c>
      <c r="AD1062" s="2">
        <v>5</v>
      </c>
      <c r="AE1062" s="2" t="s">
        <v>0</v>
      </c>
      <c r="AF1062" s="2">
        <v>2</v>
      </c>
      <c r="AG1062" s="2" t="s">
        <v>0</v>
      </c>
    </row>
    <row r="1063" spans="1:33" ht="63.75" x14ac:dyDescent="0.2">
      <c r="A1063" s="5" t="str">
        <f>HYPERLINK("http://www.patentics.cn/invokexml.do?sf=ShowPatent&amp;spn=US8514722&amp;sv=04359e202e2e03d8315d87077083d7af","US8514722")</f>
        <v>US8514722</v>
      </c>
      <c r="B1063" s="3" t="s">
        <v>4941</v>
      </c>
      <c r="C1063" s="3" t="s">
        <v>4942</v>
      </c>
      <c r="D1063" s="3" t="s">
        <v>52</v>
      </c>
      <c r="E1063" s="3" t="s">
        <v>52</v>
      </c>
      <c r="F1063" s="3" t="s">
        <v>1457</v>
      </c>
      <c r="G1063" s="3" t="s">
        <v>1458</v>
      </c>
      <c r="H1063" s="3" t="s">
        <v>2970</v>
      </c>
      <c r="I1063" s="3" t="s">
        <v>4943</v>
      </c>
      <c r="J1063" s="3" t="s">
        <v>778</v>
      </c>
      <c r="K1063" s="3" t="s">
        <v>82</v>
      </c>
      <c r="L1063" s="3" t="s">
        <v>806</v>
      </c>
      <c r="M1063" s="3" t="s">
        <v>58</v>
      </c>
      <c r="N1063" s="3" t="s">
        <v>4944</v>
      </c>
      <c r="O1063" s="3">
        <v>0</v>
      </c>
      <c r="P1063" s="3">
        <v>10</v>
      </c>
      <c r="Q1063" s="3" t="s">
        <v>60</v>
      </c>
      <c r="R1063" s="3" t="s">
        <v>61</v>
      </c>
      <c r="S1063" s="3">
        <v>6</v>
      </c>
      <c r="T1063" s="3">
        <v>0</v>
      </c>
      <c r="U1063" s="3">
        <v>6</v>
      </c>
      <c r="V1063" s="3">
        <v>4</v>
      </c>
      <c r="W1063" s="3">
        <v>0</v>
      </c>
      <c r="X1063" s="3" t="s">
        <v>147</v>
      </c>
      <c r="Y1063" s="3">
        <v>0</v>
      </c>
      <c r="Z1063" s="3">
        <v>0</v>
      </c>
      <c r="AA1063" s="3">
        <v>0</v>
      </c>
      <c r="AB1063" s="3">
        <v>0</v>
      </c>
      <c r="AC1063" s="3">
        <v>5</v>
      </c>
      <c r="AD1063" s="3">
        <v>4</v>
      </c>
      <c r="AE1063" s="3">
        <v>14</v>
      </c>
      <c r="AF1063" s="3" t="s">
        <v>0</v>
      </c>
      <c r="AG1063" s="3" t="s">
        <v>49</v>
      </c>
    </row>
    <row r="1064" spans="1:33" ht="51" x14ac:dyDescent="0.2">
      <c r="A1064" s="5" t="str">
        <f>HYPERLINK("http://www.patentics.cn/invokexml.do?sf=ShowPatent&amp;spn=WO2011143363&amp;sv=af4bc47f90ab04a73d11c25633354a82","WO2011143363")</f>
        <v>WO2011143363</v>
      </c>
      <c r="B1064" s="3" t="s">
        <v>4945</v>
      </c>
      <c r="C1064" s="3" t="s">
        <v>4942</v>
      </c>
      <c r="D1064" s="3" t="s">
        <v>1484</v>
      </c>
      <c r="E1064" s="3" t="s">
        <v>1485</v>
      </c>
      <c r="F1064" s="3" t="s">
        <v>1486</v>
      </c>
      <c r="G1064" s="3" t="s">
        <v>1487</v>
      </c>
      <c r="H1064" s="3" t="s">
        <v>2970</v>
      </c>
      <c r="I1064" s="3" t="s">
        <v>4946</v>
      </c>
      <c r="J1064" s="3" t="s">
        <v>4947</v>
      </c>
      <c r="K1064" s="3" t="s">
        <v>58</v>
      </c>
      <c r="L1064" s="3" t="s">
        <v>188</v>
      </c>
      <c r="M1064" s="3" t="s">
        <v>0</v>
      </c>
      <c r="N1064" s="3" t="s">
        <v>0</v>
      </c>
      <c r="O1064" s="3">
        <v>25</v>
      </c>
      <c r="P1064" s="3">
        <v>8</v>
      </c>
      <c r="Q1064" s="3" t="s">
        <v>352</v>
      </c>
      <c r="R1064" s="3" t="s">
        <v>61</v>
      </c>
      <c r="S1064" s="3">
        <v>1</v>
      </c>
      <c r="T1064" s="3">
        <v>0</v>
      </c>
      <c r="U1064" s="3">
        <v>1</v>
      </c>
      <c r="V1064" s="3">
        <v>1</v>
      </c>
      <c r="W1064" s="3">
        <v>1</v>
      </c>
      <c r="X1064" s="3" t="s">
        <v>580</v>
      </c>
      <c r="Y1064" s="3">
        <v>1</v>
      </c>
      <c r="Z1064" s="3">
        <v>0</v>
      </c>
      <c r="AA1064" s="3">
        <v>1</v>
      </c>
      <c r="AB1064" s="3">
        <v>1</v>
      </c>
      <c r="AC1064" s="3">
        <v>5</v>
      </c>
      <c r="AD1064" s="3">
        <v>4</v>
      </c>
      <c r="AE1064" s="3">
        <v>14</v>
      </c>
      <c r="AF1064" s="3" t="s">
        <v>0</v>
      </c>
      <c r="AG1064" s="3" t="s">
        <v>0</v>
      </c>
    </row>
    <row r="1065" spans="1:33" ht="63.75" x14ac:dyDescent="0.2">
      <c r="A1065" s="4" t="str">
        <f>HYPERLINK("http://www.patentics.cn/invokexml.do?sf=ShowPatent&amp;spn=EP1775968&amp;sv=7ed7fa9597740946b4d1f646f6508b4f","EP1775968")</f>
        <v>EP1775968</v>
      </c>
      <c r="B1065" s="2" t="s">
        <v>4948</v>
      </c>
      <c r="C1065" s="2" t="s">
        <v>4949</v>
      </c>
      <c r="D1065" s="2" t="s">
        <v>346</v>
      </c>
      <c r="E1065" s="2" t="s">
        <v>346</v>
      </c>
      <c r="F1065" s="2" t="s">
        <v>4950</v>
      </c>
      <c r="G1065" s="2" t="s">
        <v>2797</v>
      </c>
      <c r="H1065" s="2" t="s">
        <v>4951</v>
      </c>
      <c r="I1065" s="2" t="s">
        <v>4952</v>
      </c>
      <c r="J1065" s="2" t="s">
        <v>4953</v>
      </c>
      <c r="K1065" s="2" t="s">
        <v>82</v>
      </c>
      <c r="L1065" s="2" t="s">
        <v>2082</v>
      </c>
      <c r="M1065" s="2" t="s">
        <v>58</v>
      </c>
      <c r="N1065" s="2" t="s">
        <v>512</v>
      </c>
      <c r="O1065" s="2">
        <v>5</v>
      </c>
      <c r="P1065" s="2">
        <v>25</v>
      </c>
      <c r="Q1065" s="2" t="s">
        <v>352</v>
      </c>
      <c r="R1065" s="2" t="s">
        <v>47</v>
      </c>
      <c r="S1065" s="2">
        <v>2</v>
      </c>
      <c r="T1065" s="2">
        <v>0</v>
      </c>
      <c r="U1065" s="2">
        <v>2</v>
      </c>
      <c r="V1065" s="2">
        <v>2</v>
      </c>
      <c r="W1065" s="2">
        <v>10</v>
      </c>
      <c r="X1065" s="2" t="s">
        <v>4954</v>
      </c>
      <c r="Y1065" s="2">
        <v>4</v>
      </c>
      <c r="Z1065" s="2">
        <v>6</v>
      </c>
      <c r="AA1065" s="2">
        <v>5</v>
      </c>
      <c r="AB1065" s="2">
        <v>4</v>
      </c>
      <c r="AC1065" s="2">
        <v>10</v>
      </c>
      <c r="AD1065" s="2">
        <v>6</v>
      </c>
      <c r="AE1065" s="2" t="s">
        <v>0</v>
      </c>
      <c r="AF1065" s="2">
        <v>2</v>
      </c>
      <c r="AG1065" s="2" t="s">
        <v>0</v>
      </c>
    </row>
    <row r="1066" spans="1:33" ht="51" x14ac:dyDescent="0.2">
      <c r="A1066" s="5" t="str">
        <f>HYPERLINK("http://www.patentics.cn/invokexml.do?sf=ShowPatent&amp;spn=US9100890&amp;sv=6549ecb1fe34edb8b7076296fa2a4a24","US9100890")</f>
        <v>US9100890</v>
      </c>
      <c r="B1066" s="3" t="s">
        <v>4955</v>
      </c>
      <c r="C1066" s="3" t="s">
        <v>4956</v>
      </c>
      <c r="D1066" s="3" t="s">
        <v>52</v>
      </c>
      <c r="E1066" s="3" t="s">
        <v>52</v>
      </c>
      <c r="F1066" s="3" t="s">
        <v>4957</v>
      </c>
      <c r="G1066" s="3" t="s">
        <v>4958</v>
      </c>
      <c r="H1066" s="3" t="s">
        <v>4959</v>
      </c>
      <c r="I1066" s="3" t="s">
        <v>3379</v>
      </c>
      <c r="J1066" s="3" t="s">
        <v>3803</v>
      </c>
      <c r="K1066" s="3" t="s">
        <v>82</v>
      </c>
      <c r="L1066" s="3" t="s">
        <v>83</v>
      </c>
      <c r="M1066" s="3" t="s">
        <v>0</v>
      </c>
      <c r="N1066" s="3" t="s">
        <v>0</v>
      </c>
      <c r="O1066" s="3">
        <v>0</v>
      </c>
      <c r="P1066" s="3">
        <v>25</v>
      </c>
      <c r="Q1066" s="3" t="s">
        <v>60</v>
      </c>
      <c r="R1066" s="3" t="s">
        <v>61</v>
      </c>
      <c r="S1066" s="3">
        <v>28</v>
      </c>
      <c r="T1066" s="3">
        <v>3</v>
      </c>
      <c r="U1066" s="3">
        <v>25</v>
      </c>
      <c r="V1066" s="3">
        <v>15</v>
      </c>
      <c r="W1066" s="3">
        <v>1</v>
      </c>
      <c r="X1066" s="3" t="s">
        <v>1186</v>
      </c>
      <c r="Y1066" s="3">
        <v>0</v>
      </c>
      <c r="Z1066" s="3">
        <v>1</v>
      </c>
      <c r="AA1066" s="3">
        <v>1</v>
      </c>
      <c r="AB1066" s="3">
        <v>1</v>
      </c>
      <c r="AC1066" s="3">
        <v>22</v>
      </c>
      <c r="AD1066" s="3">
        <v>14</v>
      </c>
      <c r="AE1066" s="3">
        <v>14</v>
      </c>
      <c r="AF1066" s="3" t="s">
        <v>0</v>
      </c>
      <c r="AG1066" s="3" t="s">
        <v>49</v>
      </c>
    </row>
    <row r="1067" spans="1:33" ht="51" x14ac:dyDescent="0.2">
      <c r="A1067" s="5" t="str">
        <f>HYPERLINK("http://www.patentics.cn/invokexml.do?sf=ShowPatent&amp;spn=WO2009117704&amp;sv=713ccc666137e17c5680e5078b3a7425","WO2009117704")</f>
        <v>WO2009117704</v>
      </c>
      <c r="B1067" s="3" t="s">
        <v>4960</v>
      </c>
      <c r="C1067" s="3" t="s">
        <v>4961</v>
      </c>
      <c r="D1067" s="3" t="s">
        <v>4962</v>
      </c>
      <c r="E1067" s="3" t="s">
        <v>4963</v>
      </c>
      <c r="F1067" s="3" t="s">
        <v>4964</v>
      </c>
      <c r="G1067" s="3" t="s">
        <v>4965</v>
      </c>
      <c r="H1067" s="3" t="s">
        <v>4959</v>
      </c>
      <c r="I1067" s="3" t="s">
        <v>4615</v>
      </c>
      <c r="J1067" s="3" t="s">
        <v>4966</v>
      </c>
      <c r="K1067" s="3" t="s">
        <v>82</v>
      </c>
      <c r="L1067" s="3" t="s">
        <v>4041</v>
      </c>
      <c r="M1067" s="3" t="s">
        <v>0</v>
      </c>
      <c r="N1067" s="3" t="s">
        <v>0</v>
      </c>
      <c r="O1067" s="3">
        <v>30</v>
      </c>
      <c r="P1067" s="3">
        <v>19</v>
      </c>
      <c r="Q1067" s="3" t="s">
        <v>352</v>
      </c>
      <c r="R1067" s="3" t="s">
        <v>61</v>
      </c>
      <c r="S1067" s="3">
        <v>4</v>
      </c>
      <c r="T1067" s="3">
        <v>1</v>
      </c>
      <c r="U1067" s="3">
        <v>3</v>
      </c>
      <c r="V1067" s="3">
        <v>4</v>
      </c>
      <c r="W1067" s="3">
        <v>6</v>
      </c>
      <c r="X1067" s="3" t="s">
        <v>147</v>
      </c>
      <c r="Y1067" s="3">
        <v>0</v>
      </c>
      <c r="Z1067" s="3">
        <v>6</v>
      </c>
      <c r="AA1067" s="3">
        <v>0</v>
      </c>
      <c r="AB1067" s="3">
        <v>1</v>
      </c>
      <c r="AC1067" s="3">
        <v>22</v>
      </c>
      <c r="AD1067" s="3">
        <v>14</v>
      </c>
      <c r="AE1067" s="3">
        <v>14</v>
      </c>
      <c r="AF1067" s="3" t="s">
        <v>0</v>
      </c>
      <c r="AG1067" s="3" t="s">
        <v>0</v>
      </c>
    </row>
    <row r="1068" spans="1:33" x14ac:dyDescent="0.2">
      <c r="A1068" s="4" t="str">
        <f>HYPERLINK("http://www.patentics.cn/invokexml.do?sf=ShowPatent&amp;spn=CN102780547&amp;sv=04e4510bc13c96cfa3db31173d9ff78f","CN102780547")</f>
        <v>CN102780547</v>
      </c>
      <c r="B1068" s="2" t="s">
        <v>4967</v>
      </c>
      <c r="C1068" s="2" t="s">
        <v>4968</v>
      </c>
      <c r="D1068" s="2" t="s">
        <v>38</v>
      </c>
      <c r="E1068" s="2" t="s">
        <v>38</v>
      </c>
      <c r="F1068" s="2" t="s">
        <v>4969</v>
      </c>
      <c r="G1068" s="2" t="s">
        <v>4970</v>
      </c>
      <c r="H1068" s="2" t="s">
        <v>4946</v>
      </c>
      <c r="I1068" s="2" t="s">
        <v>4946</v>
      </c>
      <c r="J1068" s="2" t="s">
        <v>4971</v>
      </c>
      <c r="K1068" s="2" t="s">
        <v>58</v>
      </c>
      <c r="L1068" s="2" t="s">
        <v>2734</v>
      </c>
      <c r="M1068" s="2" t="s">
        <v>0</v>
      </c>
      <c r="N1068" s="2" t="s">
        <v>0</v>
      </c>
      <c r="O1068" s="2">
        <v>10</v>
      </c>
      <c r="P1068" s="2">
        <v>10</v>
      </c>
      <c r="Q1068" s="2" t="s">
        <v>46</v>
      </c>
      <c r="R1068" s="2" t="s">
        <v>47</v>
      </c>
      <c r="S1068" s="2">
        <v>0</v>
      </c>
      <c r="T1068" s="2">
        <v>0</v>
      </c>
      <c r="U1068" s="2">
        <v>0</v>
      </c>
      <c r="V1068" s="2">
        <v>0</v>
      </c>
      <c r="W1068" s="2">
        <v>2</v>
      </c>
      <c r="X1068" s="2" t="s">
        <v>1206</v>
      </c>
      <c r="Y1068" s="2">
        <v>0</v>
      </c>
      <c r="Z1068" s="2">
        <v>2</v>
      </c>
      <c r="AA1068" s="2">
        <v>1</v>
      </c>
      <c r="AB1068" s="2">
        <v>2</v>
      </c>
      <c r="AC1068" s="2">
        <v>1</v>
      </c>
      <c r="AD1068" s="2">
        <v>2</v>
      </c>
      <c r="AE1068" s="2" t="s">
        <v>0</v>
      </c>
      <c r="AF1068" s="2">
        <v>2</v>
      </c>
      <c r="AG1068" s="2" t="s">
        <v>2231</v>
      </c>
    </row>
    <row r="1069" spans="1:33" ht="204" x14ac:dyDescent="0.2">
      <c r="A1069" s="5" t="str">
        <f>HYPERLINK("http://www.patentics.cn/invokexml.do?sf=ShowPatent&amp;spn=US9591657&amp;sv=47535e14f9e974b044014c564a83975d","US9591657")</f>
        <v>US9591657</v>
      </c>
      <c r="B1069" s="3" t="s">
        <v>4972</v>
      </c>
      <c r="C1069" s="3" t="s">
        <v>4973</v>
      </c>
      <c r="D1069" s="3" t="s">
        <v>52</v>
      </c>
      <c r="E1069" s="3" t="s">
        <v>52</v>
      </c>
      <c r="F1069" s="3" t="s">
        <v>4974</v>
      </c>
      <c r="G1069" s="3" t="s">
        <v>78</v>
      </c>
      <c r="H1069" s="3" t="s">
        <v>169</v>
      </c>
      <c r="I1069" s="3" t="s">
        <v>4975</v>
      </c>
      <c r="J1069" s="3" t="s">
        <v>2406</v>
      </c>
      <c r="K1069" s="3" t="s">
        <v>82</v>
      </c>
      <c r="L1069" s="3" t="s">
        <v>318</v>
      </c>
      <c r="M1069" s="3" t="s">
        <v>82</v>
      </c>
      <c r="N1069" s="3" t="s">
        <v>977</v>
      </c>
      <c r="O1069" s="3">
        <v>0</v>
      </c>
      <c r="P1069" s="3">
        <v>18</v>
      </c>
      <c r="Q1069" s="3" t="s">
        <v>60</v>
      </c>
      <c r="R1069" s="3" t="s">
        <v>61</v>
      </c>
      <c r="S1069" s="3">
        <v>22</v>
      </c>
      <c r="T1069" s="3">
        <v>4</v>
      </c>
      <c r="U1069" s="3">
        <v>18</v>
      </c>
      <c r="V1069" s="3">
        <v>13</v>
      </c>
      <c r="W1069" s="3">
        <v>0</v>
      </c>
      <c r="X1069" s="3" t="s">
        <v>147</v>
      </c>
      <c r="Y1069" s="3">
        <v>0</v>
      </c>
      <c r="Z1069" s="3">
        <v>0</v>
      </c>
      <c r="AA1069" s="3">
        <v>0</v>
      </c>
      <c r="AB1069" s="3">
        <v>0</v>
      </c>
      <c r="AC1069" s="3">
        <v>18</v>
      </c>
      <c r="AD1069" s="3">
        <v>6</v>
      </c>
      <c r="AE1069" s="3">
        <v>14</v>
      </c>
      <c r="AF1069" s="3" t="s">
        <v>0</v>
      </c>
      <c r="AG1069" s="3" t="s">
        <v>49</v>
      </c>
    </row>
    <row r="1070" spans="1:33" ht="191.25" x14ac:dyDescent="0.2">
      <c r="A1070" s="5" t="str">
        <f>HYPERLINK("http://www.patentics.cn/invokexml.do?sf=ShowPatent&amp;spn=WO2016014306&amp;sv=225ea303d2ee64ab9a37b53bc61801e7","WO2016014306")</f>
        <v>WO2016014306</v>
      </c>
      <c r="B1070" s="3" t="s">
        <v>4976</v>
      </c>
      <c r="C1070" s="3" t="s">
        <v>4977</v>
      </c>
      <c r="D1070" s="3" t="s">
        <v>52</v>
      </c>
      <c r="E1070" s="3" t="s">
        <v>52</v>
      </c>
      <c r="F1070" s="3" t="s">
        <v>4978</v>
      </c>
      <c r="G1070" s="3" t="s">
        <v>2352</v>
      </c>
      <c r="H1070" s="3" t="s">
        <v>169</v>
      </c>
      <c r="I1070" s="3" t="s">
        <v>4979</v>
      </c>
      <c r="J1070" s="3" t="s">
        <v>4980</v>
      </c>
      <c r="K1070" s="3" t="s">
        <v>82</v>
      </c>
      <c r="L1070" s="3" t="s">
        <v>2215</v>
      </c>
      <c r="M1070" s="3" t="s">
        <v>0</v>
      </c>
      <c r="N1070" s="3" t="s">
        <v>0</v>
      </c>
      <c r="O1070" s="3">
        <v>2</v>
      </c>
      <c r="P1070" s="3">
        <v>13</v>
      </c>
      <c r="Q1070" s="3" t="s">
        <v>352</v>
      </c>
      <c r="R1070" s="3" t="s">
        <v>61</v>
      </c>
      <c r="S1070" s="3">
        <v>6</v>
      </c>
      <c r="T1070" s="3">
        <v>0</v>
      </c>
      <c r="U1070" s="3">
        <v>6</v>
      </c>
      <c r="V1070" s="3">
        <v>5</v>
      </c>
      <c r="W1070" s="3">
        <v>0</v>
      </c>
      <c r="X1070" s="3" t="s">
        <v>147</v>
      </c>
      <c r="Y1070" s="3">
        <v>0</v>
      </c>
      <c r="Z1070" s="3">
        <v>0</v>
      </c>
      <c r="AA1070" s="3">
        <v>0</v>
      </c>
      <c r="AB1070" s="3">
        <v>0</v>
      </c>
      <c r="AC1070" s="3">
        <v>18</v>
      </c>
      <c r="AD1070" s="3">
        <v>6</v>
      </c>
      <c r="AE1070" s="3">
        <v>14</v>
      </c>
      <c r="AF1070" s="3" t="s">
        <v>0</v>
      </c>
      <c r="AG1070" s="3" t="s">
        <v>0</v>
      </c>
    </row>
    <row r="1071" spans="1:33" ht="25.5" x14ac:dyDescent="0.2">
      <c r="A1071" s="4" t="str">
        <f>HYPERLINK("http://www.patentics.cn/invokexml.do?sf=ShowPatent&amp;spn=CN102624481&amp;sv=90014a3719b64536835a1d56e2543f2c","CN102624481")</f>
        <v>CN102624481</v>
      </c>
      <c r="B1071" s="2" t="s">
        <v>4981</v>
      </c>
      <c r="C1071" s="2" t="s">
        <v>4982</v>
      </c>
      <c r="D1071" s="2" t="s">
        <v>38</v>
      </c>
      <c r="E1071" s="2" t="s">
        <v>38</v>
      </c>
      <c r="F1071" s="2" t="s">
        <v>4983</v>
      </c>
      <c r="G1071" s="2" t="s">
        <v>4984</v>
      </c>
      <c r="H1071" s="2" t="s">
        <v>0</v>
      </c>
      <c r="I1071" s="2" t="s">
        <v>4027</v>
      </c>
      <c r="J1071" s="2" t="s">
        <v>4191</v>
      </c>
      <c r="K1071" s="2" t="s">
        <v>58</v>
      </c>
      <c r="L1071" s="2" t="s">
        <v>613</v>
      </c>
      <c r="M1071" s="2" t="s">
        <v>0</v>
      </c>
      <c r="N1071" s="2" t="s">
        <v>0</v>
      </c>
      <c r="O1071" s="2">
        <v>10</v>
      </c>
      <c r="P1071" s="2">
        <v>12</v>
      </c>
      <c r="Q1071" s="2" t="s">
        <v>46</v>
      </c>
      <c r="R1071" s="2" t="s">
        <v>47</v>
      </c>
      <c r="S1071" s="2">
        <v>0</v>
      </c>
      <c r="T1071" s="2">
        <v>0</v>
      </c>
      <c r="U1071" s="2">
        <v>0</v>
      </c>
      <c r="V1071" s="2">
        <v>0</v>
      </c>
      <c r="W1071" s="2">
        <v>10</v>
      </c>
      <c r="X1071" s="2" t="s">
        <v>4985</v>
      </c>
      <c r="Y1071" s="2">
        <v>0</v>
      </c>
      <c r="Z1071" s="2">
        <v>10</v>
      </c>
      <c r="AA1071" s="2">
        <v>8</v>
      </c>
      <c r="AB1071" s="2">
        <v>3</v>
      </c>
      <c r="AC1071" s="2">
        <v>0</v>
      </c>
      <c r="AD1071" s="2">
        <v>0</v>
      </c>
      <c r="AE1071" s="2" t="s">
        <v>0</v>
      </c>
      <c r="AF1071" s="2">
        <v>2</v>
      </c>
      <c r="AG1071" s="2" t="s">
        <v>2231</v>
      </c>
    </row>
    <row r="1072" spans="1:33" ht="76.5" x14ac:dyDescent="0.2">
      <c r="A1072" s="5" t="str">
        <f>HYPERLINK("http://www.patentics.cn/invokexml.do?sf=ShowPatent&amp;spn=US9407417&amp;sv=b3b7acdd11d57ffdb064f4ba45e42231","US9407417")</f>
        <v>US9407417</v>
      </c>
      <c r="B1072" s="3" t="s">
        <v>4986</v>
      </c>
      <c r="C1072" s="3" t="s">
        <v>4987</v>
      </c>
      <c r="D1072" s="3" t="s">
        <v>52</v>
      </c>
      <c r="E1072" s="3" t="s">
        <v>52</v>
      </c>
      <c r="F1072" s="3" t="s">
        <v>4988</v>
      </c>
      <c r="G1072" s="3" t="s">
        <v>1091</v>
      </c>
      <c r="H1072" s="3" t="s">
        <v>3641</v>
      </c>
      <c r="I1072" s="3" t="s">
        <v>2189</v>
      </c>
      <c r="J1072" s="3" t="s">
        <v>322</v>
      </c>
      <c r="K1072" s="3" t="s">
        <v>58</v>
      </c>
      <c r="L1072" s="3" t="s">
        <v>188</v>
      </c>
      <c r="M1072" s="3" t="s">
        <v>58</v>
      </c>
      <c r="N1072" s="3" t="s">
        <v>4989</v>
      </c>
      <c r="O1072" s="3">
        <v>0</v>
      </c>
      <c r="P1072" s="3">
        <v>8</v>
      </c>
      <c r="Q1072" s="3" t="s">
        <v>60</v>
      </c>
      <c r="R1072" s="3" t="s">
        <v>61</v>
      </c>
      <c r="S1072" s="3">
        <v>16</v>
      </c>
      <c r="T1072" s="3">
        <v>2</v>
      </c>
      <c r="U1072" s="3">
        <v>14</v>
      </c>
      <c r="V1072" s="3">
        <v>8</v>
      </c>
      <c r="W1072" s="3">
        <v>0</v>
      </c>
      <c r="X1072" s="3" t="s">
        <v>147</v>
      </c>
      <c r="Y1072" s="3">
        <v>0</v>
      </c>
      <c r="Z1072" s="3">
        <v>0</v>
      </c>
      <c r="AA1072" s="3">
        <v>0</v>
      </c>
      <c r="AB1072" s="3">
        <v>0</v>
      </c>
      <c r="AC1072" s="3">
        <v>6</v>
      </c>
      <c r="AD1072" s="3">
        <v>6</v>
      </c>
      <c r="AE1072" s="3">
        <v>14</v>
      </c>
      <c r="AF1072" s="3" t="s">
        <v>0</v>
      </c>
      <c r="AG1072" s="3" t="s">
        <v>49</v>
      </c>
    </row>
    <row r="1073" spans="1:33" ht="51" x14ac:dyDescent="0.2">
      <c r="A1073" s="5" t="str">
        <f>HYPERLINK("http://www.patentics.cn/invokexml.do?sf=ShowPatent&amp;spn=WO2014109915&amp;sv=f76040c481bafb6a7b2969d7ba7cdf4b","WO2014109915")</f>
        <v>WO2014109915</v>
      </c>
      <c r="B1073" s="3" t="s">
        <v>4990</v>
      </c>
      <c r="C1073" s="3" t="s">
        <v>4987</v>
      </c>
      <c r="D1073" s="3" t="s">
        <v>52</v>
      </c>
      <c r="E1073" s="3" t="s">
        <v>52</v>
      </c>
      <c r="F1073" s="3" t="s">
        <v>4991</v>
      </c>
      <c r="G1073" s="3" t="s">
        <v>4607</v>
      </c>
      <c r="H1073" s="3" t="s">
        <v>3641</v>
      </c>
      <c r="I1073" s="3" t="s">
        <v>4992</v>
      </c>
      <c r="J1073" s="3" t="s">
        <v>4993</v>
      </c>
      <c r="K1073" s="3" t="s">
        <v>58</v>
      </c>
      <c r="L1073" s="3" t="s">
        <v>613</v>
      </c>
      <c r="M1073" s="3" t="s">
        <v>0</v>
      </c>
      <c r="N1073" s="3" t="s">
        <v>0</v>
      </c>
      <c r="O1073" s="3">
        <v>113</v>
      </c>
      <c r="P1073" s="3">
        <v>8</v>
      </c>
      <c r="Q1073" s="3" t="s">
        <v>352</v>
      </c>
      <c r="R1073" s="3" t="s">
        <v>61</v>
      </c>
      <c r="S1073" s="3">
        <v>16</v>
      </c>
      <c r="T1073" s="3">
        <v>2</v>
      </c>
      <c r="U1073" s="3">
        <v>14</v>
      </c>
      <c r="V1073" s="3">
        <v>8</v>
      </c>
      <c r="W1073" s="3">
        <v>11</v>
      </c>
      <c r="X1073" s="3" t="s">
        <v>4994</v>
      </c>
      <c r="Y1073" s="3">
        <v>0</v>
      </c>
      <c r="Z1073" s="3">
        <v>11</v>
      </c>
      <c r="AA1073" s="3">
        <v>2</v>
      </c>
      <c r="AB1073" s="3">
        <v>4</v>
      </c>
      <c r="AC1073" s="3">
        <v>6</v>
      </c>
      <c r="AD1073" s="3">
        <v>6</v>
      </c>
      <c r="AE1073" s="3">
        <v>14</v>
      </c>
      <c r="AF1073" s="3" t="s">
        <v>0</v>
      </c>
      <c r="AG1073" s="3" t="s">
        <v>0</v>
      </c>
    </row>
    <row r="1074" spans="1:33" x14ac:dyDescent="0.2">
      <c r="A1074" s="4" t="str">
        <f>HYPERLINK("http://www.patentics.cn/invokexml.do?sf=ShowPatent&amp;spn=CN102378192&amp;sv=d6cc3c8b036ae987b54201f5df6f913b","CN102378192")</f>
        <v>CN102378192</v>
      </c>
      <c r="B1074" s="2" t="s">
        <v>4995</v>
      </c>
      <c r="C1074" s="2" t="s">
        <v>4996</v>
      </c>
      <c r="D1074" s="2" t="s">
        <v>38</v>
      </c>
      <c r="E1074" s="2" t="s">
        <v>38</v>
      </c>
      <c r="F1074" s="2" t="s">
        <v>4997</v>
      </c>
      <c r="G1074" s="2" t="s">
        <v>4997</v>
      </c>
      <c r="H1074" s="2" t="s">
        <v>0</v>
      </c>
      <c r="I1074" s="2" t="s">
        <v>4998</v>
      </c>
      <c r="J1074" s="2" t="s">
        <v>4999</v>
      </c>
      <c r="K1074" s="2" t="s">
        <v>82</v>
      </c>
      <c r="L1074" s="2" t="s">
        <v>2817</v>
      </c>
      <c r="M1074" s="2" t="s">
        <v>0</v>
      </c>
      <c r="N1074" s="2" t="s">
        <v>0</v>
      </c>
      <c r="O1074" s="2">
        <v>16</v>
      </c>
      <c r="P1074" s="2">
        <v>9</v>
      </c>
      <c r="Q1074" s="2" t="s">
        <v>46</v>
      </c>
      <c r="R1074" s="2" t="s">
        <v>47</v>
      </c>
      <c r="S1074" s="2">
        <v>0</v>
      </c>
      <c r="T1074" s="2">
        <v>0</v>
      </c>
      <c r="U1074" s="2">
        <v>0</v>
      </c>
      <c r="V1074" s="2">
        <v>0</v>
      </c>
      <c r="W1074" s="2">
        <v>9</v>
      </c>
      <c r="X1074" s="2" t="s">
        <v>5000</v>
      </c>
      <c r="Y1074" s="2">
        <v>0</v>
      </c>
      <c r="Z1074" s="2">
        <v>9</v>
      </c>
      <c r="AA1074" s="2">
        <v>5</v>
      </c>
      <c r="AB1074" s="2">
        <v>3</v>
      </c>
      <c r="AC1074" s="2">
        <v>0</v>
      </c>
      <c r="AD1074" s="2">
        <v>0</v>
      </c>
      <c r="AE1074" s="2" t="s">
        <v>0</v>
      </c>
      <c r="AF1074" s="2">
        <v>2</v>
      </c>
      <c r="AG1074" s="2" t="s">
        <v>2523</v>
      </c>
    </row>
    <row r="1075" spans="1:33" ht="165.75" x14ac:dyDescent="0.2">
      <c r="A1075" s="5" t="str">
        <f>HYPERLINK("http://www.patentics.cn/invokexml.do?sf=ShowPatent&amp;spn=WO2014107881&amp;sv=8ecb88b698b3aac1a5824236dddd9ce6","WO2014107881")</f>
        <v>WO2014107881</v>
      </c>
      <c r="B1075" s="3" t="s">
        <v>5001</v>
      </c>
      <c r="C1075" s="3" t="s">
        <v>5002</v>
      </c>
      <c r="D1075" s="3" t="s">
        <v>5003</v>
      </c>
      <c r="E1075" s="3" t="s">
        <v>5004</v>
      </c>
      <c r="F1075" s="3" t="s">
        <v>5005</v>
      </c>
      <c r="G1075" s="3" t="s">
        <v>5006</v>
      </c>
      <c r="H1075" s="3" t="s">
        <v>5007</v>
      </c>
      <c r="I1075" s="3" t="s">
        <v>5007</v>
      </c>
      <c r="J1075" s="3" t="s">
        <v>4993</v>
      </c>
      <c r="K1075" s="3" t="s">
        <v>82</v>
      </c>
      <c r="L1075" s="3" t="s">
        <v>911</v>
      </c>
      <c r="M1075" s="3" t="s">
        <v>0</v>
      </c>
      <c r="N1075" s="3" t="s">
        <v>0</v>
      </c>
      <c r="O1075" s="3">
        <v>13</v>
      </c>
      <c r="P1075" s="3">
        <v>12</v>
      </c>
      <c r="Q1075" s="3" t="s">
        <v>352</v>
      </c>
      <c r="R1075" s="3" t="s">
        <v>47</v>
      </c>
      <c r="S1075" s="3">
        <v>5</v>
      </c>
      <c r="T1075" s="3">
        <v>0</v>
      </c>
      <c r="U1075" s="3">
        <v>5</v>
      </c>
      <c r="V1075" s="3">
        <v>3</v>
      </c>
      <c r="W1075" s="3">
        <v>0</v>
      </c>
      <c r="X1075" s="3" t="s">
        <v>147</v>
      </c>
      <c r="Y1075" s="3">
        <v>0</v>
      </c>
      <c r="Z1075" s="3">
        <v>0</v>
      </c>
      <c r="AA1075" s="3">
        <v>0</v>
      </c>
      <c r="AB1075" s="3">
        <v>0</v>
      </c>
      <c r="AC1075" s="3">
        <v>4</v>
      </c>
      <c r="AD1075" s="3">
        <v>4</v>
      </c>
      <c r="AE1075" s="3">
        <v>14</v>
      </c>
      <c r="AF1075" s="3" t="s">
        <v>0</v>
      </c>
      <c r="AG1075" s="3" t="s">
        <v>0</v>
      </c>
    </row>
    <row r="1076" spans="1:33" ht="165.75" x14ac:dyDescent="0.2">
      <c r="A1076" s="5" t="str">
        <f>HYPERLINK("http://www.patentics.cn/invokexml.do?sf=ShowPatent&amp;spn=WO2014107975&amp;sv=411701c0ace8773d8cd524b49f783c3c","WO2014107975")</f>
        <v>WO2014107975</v>
      </c>
      <c r="B1076" s="3" t="s">
        <v>5008</v>
      </c>
      <c r="C1076" s="3" t="s">
        <v>5002</v>
      </c>
      <c r="D1076" s="3" t="s">
        <v>5009</v>
      </c>
      <c r="E1076" s="3" t="s">
        <v>5010</v>
      </c>
      <c r="F1076" s="3" t="s">
        <v>5011</v>
      </c>
      <c r="G1076" s="3" t="s">
        <v>5006</v>
      </c>
      <c r="H1076" s="3" t="s">
        <v>5007</v>
      </c>
      <c r="I1076" s="3" t="s">
        <v>5012</v>
      </c>
      <c r="J1076" s="3" t="s">
        <v>4993</v>
      </c>
      <c r="K1076" s="3" t="s">
        <v>82</v>
      </c>
      <c r="L1076" s="3" t="s">
        <v>911</v>
      </c>
      <c r="M1076" s="3" t="s">
        <v>0</v>
      </c>
      <c r="N1076" s="3" t="s">
        <v>0</v>
      </c>
      <c r="O1076" s="3">
        <v>24</v>
      </c>
      <c r="P1076" s="3">
        <v>12</v>
      </c>
      <c r="Q1076" s="3" t="s">
        <v>352</v>
      </c>
      <c r="R1076" s="3" t="s">
        <v>47</v>
      </c>
      <c r="S1076" s="3">
        <v>4</v>
      </c>
      <c r="T1076" s="3">
        <v>0</v>
      </c>
      <c r="U1076" s="3">
        <v>4</v>
      </c>
      <c r="V1076" s="3">
        <v>2</v>
      </c>
      <c r="W1076" s="3">
        <v>0</v>
      </c>
      <c r="X1076" s="3" t="s">
        <v>147</v>
      </c>
      <c r="Y1076" s="3">
        <v>0</v>
      </c>
      <c r="Z1076" s="3">
        <v>0</v>
      </c>
      <c r="AA1076" s="3">
        <v>0</v>
      </c>
      <c r="AB1076" s="3">
        <v>0</v>
      </c>
      <c r="AC1076" s="3">
        <v>4</v>
      </c>
      <c r="AD1076" s="3">
        <v>4</v>
      </c>
      <c r="AE1076" s="3">
        <v>14</v>
      </c>
      <c r="AF1076" s="3" t="s">
        <v>0</v>
      </c>
      <c r="AG1076" s="3" t="s">
        <v>0</v>
      </c>
    </row>
    <row r="1077" spans="1:33" ht="38.25" x14ac:dyDescent="0.2">
      <c r="A1077" s="4" t="str">
        <f>HYPERLINK("http://www.patentics.cn/invokexml.do?sf=ShowPatent&amp;spn=CN102364976&amp;sv=ee1b39ab0347f784a11b6ead407d346d","CN102364976")</f>
        <v>CN102364976</v>
      </c>
      <c r="B1077" s="2" t="s">
        <v>5013</v>
      </c>
      <c r="C1077" s="2" t="s">
        <v>5014</v>
      </c>
      <c r="D1077" s="2" t="s">
        <v>5015</v>
      </c>
      <c r="E1077" s="2" t="s">
        <v>38</v>
      </c>
      <c r="F1077" s="2" t="s">
        <v>5016</v>
      </c>
      <c r="G1077" s="2" t="s">
        <v>3748</v>
      </c>
      <c r="H1077" s="2" t="s">
        <v>1308</v>
      </c>
      <c r="I1077" s="2" t="s">
        <v>2424</v>
      </c>
      <c r="J1077" s="2" t="s">
        <v>627</v>
      </c>
      <c r="K1077" s="2" t="s">
        <v>82</v>
      </c>
      <c r="L1077" s="2" t="s">
        <v>1560</v>
      </c>
      <c r="M1077" s="2" t="s">
        <v>0</v>
      </c>
      <c r="N1077" s="2" t="s">
        <v>0</v>
      </c>
      <c r="O1077" s="2">
        <v>20</v>
      </c>
      <c r="P1077" s="2">
        <v>9</v>
      </c>
      <c r="Q1077" s="2" t="s">
        <v>46</v>
      </c>
      <c r="R1077" s="2" t="s">
        <v>61</v>
      </c>
      <c r="S1077" s="2">
        <v>0</v>
      </c>
      <c r="T1077" s="2">
        <v>0</v>
      </c>
      <c r="U1077" s="2">
        <v>0</v>
      </c>
      <c r="V1077" s="2">
        <v>0</v>
      </c>
      <c r="W1077" s="2">
        <v>6</v>
      </c>
      <c r="X1077" s="2" t="s">
        <v>5017</v>
      </c>
      <c r="Y1077" s="2">
        <v>0</v>
      </c>
      <c r="Z1077" s="2">
        <v>6</v>
      </c>
      <c r="AA1077" s="2">
        <v>3</v>
      </c>
      <c r="AB1077" s="2">
        <v>2</v>
      </c>
      <c r="AC1077" s="2">
        <v>0</v>
      </c>
      <c r="AD1077" s="2">
        <v>1</v>
      </c>
      <c r="AE1077" s="2" t="s">
        <v>0</v>
      </c>
      <c r="AF1077" s="2">
        <v>2</v>
      </c>
      <c r="AG1077" s="2" t="s">
        <v>49</v>
      </c>
    </row>
    <row r="1078" spans="1:33" ht="102" x14ac:dyDescent="0.2">
      <c r="A1078" s="5" t="str">
        <f>HYPERLINK("http://www.patentics.cn/invokexml.do?sf=ShowPatent&amp;spn=WO2013149379&amp;sv=4e7b953037869c19586f0038ddf0e008","WO2013149379")</f>
        <v>WO2013149379</v>
      </c>
      <c r="B1078" s="3" t="s">
        <v>5018</v>
      </c>
      <c r="C1078" s="3" t="s">
        <v>5019</v>
      </c>
      <c r="D1078" s="3" t="s">
        <v>5020</v>
      </c>
      <c r="E1078" s="3" t="s">
        <v>5021</v>
      </c>
      <c r="F1078" s="3" t="s">
        <v>5022</v>
      </c>
      <c r="G1078" s="3" t="s">
        <v>3427</v>
      </c>
      <c r="H1078" s="3" t="s">
        <v>1855</v>
      </c>
      <c r="I1078" s="3" t="s">
        <v>1855</v>
      </c>
      <c r="J1078" s="3" t="s">
        <v>5023</v>
      </c>
      <c r="K1078" s="3" t="s">
        <v>82</v>
      </c>
      <c r="L1078" s="3" t="s">
        <v>1560</v>
      </c>
      <c r="M1078" s="3" t="s">
        <v>0</v>
      </c>
      <c r="N1078" s="3" t="s">
        <v>0</v>
      </c>
      <c r="O1078" s="3">
        <v>57</v>
      </c>
      <c r="P1078" s="3">
        <v>9</v>
      </c>
      <c r="Q1078" s="3" t="s">
        <v>352</v>
      </c>
      <c r="R1078" s="3" t="s">
        <v>47</v>
      </c>
      <c r="S1078" s="3">
        <v>4</v>
      </c>
      <c r="T1078" s="3">
        <v>1</v>
      </c>
      <c r="U1078" s="3">
        <v>3</v>
      </c>
      <c r="V1078" s="3">
        <v>4</v>
      </c>
      <c r="W1078" s="3">
        <v>6</v>
      </c>
      <c r="X1078" s="3" t="s">
        <v>147</v>
      </c>
      <c r="Y1078" s="3">
        <v>0</v>
      </c>
      <c r="Z1078" s="3">
        <v>6</v>
      </c>
      <c r="AA1078" s="3">
        <v>0</v>
      </c>
      <c r="AB1078" s="3">
        <v>1</v>
      </c>
      <c r="AC1078" s="3">
        <v>6</v>
      </c>
      <c r="AD1078" s="3">
        <v>6</v>
      </c>
      <c r="AE1078" s="3">
        <v>14</v>
      </c>
      <c r="AF1078" s="3" t="s">
        <v>0</v>
      </c>
      <c r="AG1078" s="3" t="s">
        <v>0</v>
      </c>
    </row>
    <row r="1079" spans="1:33" ht="102" x14ac:dyDescent="0.2">
      <c r="A1079" s="5" t="str">
        <f>HYPERLINK("http://www.patentics.cn/invokexml.do?sf=ShowPatent&amp;spn=WO2013149595&amp;sv=7c2dd28c243def8239d2fb195ecb124e","WO2013149595")</f>
        <v>WO2013149595</v>
      </c>
      <c r="B1079" s="3" t="s">
        <v>5024</v>
      </c>
      <c r="C1079" s="3" t="s">
        <v>5019</v>
      </c>
      <c r="D1079" s="3" t="s">
        <v>5020</v>
      </c>
      <c r="E1079" s="3" t="s">
        <v>5021</v>
      </c>
      <c r="F1079" s="3" t="s">
        <v>5022</v>
      </c>
      <c r="G1079" s="3" t="s">
        <v>3427</v>
      </c>
      <c r="H1079" s="3" t="s">
        <v>1855</v>
      </c>
      <c r="I1079" s="3" t="s">
        <v>504</v>
      </c>
      <c r="J1079" s="3" t="s">
        <v>5023</v>
      </c>
      <c r="K1079" s="3" t="s">
        <v>82</v>
      </c>
      <c r="L1079" s="3" t="s">
        <v>1560</v>
      </c>
      <c r="M1079" s="3" t="s">
        <v>0</v>
      </c>
      <c r="N1079" s="3" t="s">
        <v>0</v>
      </c>
      <c r="O1079" s="3">
        <v>74</v>
      </c>
      <c r="P1079" s="3">
        <v>12</v>
      </c>
      <c r="Q1079" s="3" t="s">
        <v>352</v>
      </c>
      <c r="R1079" s="3" t="s">
        <v>47</v>
      </c>
      <c r="S1079" s="3">
        <v>5</v>
      </c>
      <c r="T1079" s="3">
        <v>1</v>
      </c>
      <c r="U1079" s="3">
        <v>4</v>
      </c>
      <c r="V1079" s="3">
        <v>3</v>
      </c>
      <c r="W1079" s="3">
        <v>7</v>
      </c>
      <c r="X1079" s="3" t="s">
        <v>2120</v>
      </c>
      <c r="Y1079" s="3">
        <v>1</v>
      </c>
      <c r="Z1079" s="3">
        <v>6</v>
      </c>
      <c r="AA1079" s="3">
        <v>1</v>
      </c>
      <c r="AB1079" s="3">
        <v>2</v>
      </c>
      <c r="AC1079" s="3">
        <v>6</v>
      </c>
      <c r="AD1079" s="3">
        <v>6</v>
      </c>
      <c r="AE1079" s="3">
        <v>14</v>
      </c>
      <c r="AF1079" s="3" t="s">
        <v>0</v>
      </c>
      <c r="AG1079" s="3" t="s">
        <v>0</v>
      </c>
    </row>
    <row r="1080" spans="1:33" ht="38.25" x14ac:dyDescent="0.2">
      <c r="A1080" s="4" t="str">
        <f>HYPERLINK("http://www.patentics.cn/invokexml.do?sf=ShowPatent&amp;spn=CN102300213&amp;sv=23c0b3947415a8d23bbad2fca6805cce","CN102300213")</f>
        <v>CN102300213</v>
      </c>
      <c r="B1080" s="2" t="s">
        <v>5025</v>
      </c>
      <c r="C1080" s="2" t="s">
        <v>5026</v>
      </c>
      <c r="D1080" s="2" t="s">
        <v>38</v>
      </c>
      <c r="E1080" s="2" t="s">
        <v>38</v>
      </c>
      <c r="F1080" s="2" t="s">
        <v>5027</v>
      </c>
      <c r="G1080" s="2" t="s">
        <v>5028</v>
      </c>
      <c r="H1080" s="2" t="s">
        <v>1992</v>
      </c>
      <c r="I1080" s="2" t="s">
        <v>1992</v>
      </c>
      <c r="J1080" s="2" t="s">
        <v>5029</v>
      </c>
      <c r="K1080" s="2" t="s">
        <v>82</v>
      </c>
      <c r="L1080" s="2" t="s">
        <v>2712</v>
      </c>
      <c r="M1080" s="2" t="s">
        <v>0</v>
      </c>
      <c r="N1080" s="2" t="s">
        <v>0</v>
      </c>
      <c r="O1080" s="2">
        <v>10</v>
      </c>
      <c r="P1080" s="2">
        <v>14</v>
      </c>
      <c r="Q1080" s="2" t="s">
        <v>46</v>
      </c>
      <c r="R1080" s="2" t="s">
        <v>47</v>
      </c>
      <c r="S1080" s="2">
        <v>0</v>
      </c>
      <c r="T1080" s="2">
        <v>0</v>
      </c>
      <c r="U1080" s="2">
        <v>0</v>
      </c>
      <c r="V1080" s="2">
        <v>0</v>
      </c>
      <c r="W1080" s="2">
        <v>2</v>
      </c>
      <c r="X1080" s="2" t="s">
        <v>5030</v>
      </c>
      <c r="Y1080" s="2">
        <v>0</v>
      </c>
      <c r="Z1080" s="2">
        <v>2</v>
      </c>
      <c r="AA1080" s="2">
        <v>1</v>
      </c>
      <c r="AB1080" s="2">
        <v>1</v>
      </c>
      <c r="AC1080" s="2">
        <v>1</v>
      </c>
      <c r="AD1080" s="2">
        <v>2</v>
      </c>
      <c r="AE1080" s="2" t="s">
        <v>0</v>
      </c>
      <c r="AF1080" s="2">
        <v>2</v>
      </c>
      <c r="AG1080" s="2" t="s">
        <v>49</v>
      </c>
    </row>
    <row r="1081" spans="1:33" ht="76.5" x14ac:dyDescent="0.2">
      <c r="A1081" s="5" t="str">
        <f>HYPERLINK("http://www.patentics.cn/invokexml.do?sf=ShowPatent&amp;spn=WO2016037305&amp;sv=af55dbf6ea151cd777f9b926d8b83789","WO2016037305")</f>
        <v>WO2016037305</v>
      </c>
      <c r="B1081" s="3" t="s">
        <v>5031</v>
      </c>
      <c r="C1081" s="3" t="s">
        <v>5032</v>
      </c>
      <c r="D1081" s="3" t="s">
        <v>5033</v>
      </c>
      <c r="E1081" s="3" t="s">
        <v>5034</v>
      </c>
      <c r="F1081" s="3" t="s">
        <v>5035</v>
      </c>
      <c r="G1081" s="3" t="s">
        <v>2579</v>
      </c>
      <c r="H1081" s="3" t="s">
        <v>5036</v>
      </c>
      <c r="I1081" s="3" t="s">
        <v>5036</v>
      </c>
      <c r="J1081" s="3" t="s">
        <v>5037</v>
      </c>
      <c r="K1081" s="3" t="s">
        <v>82</v>
      </c>
      <c r="L1081" s="3" t="s">
        <v>2817</v>
      </c>
      <c r="M1081" s="3" t="s">
        <v>0</v>
      </c>
      <c r="N1081" s="3" t="s">
        <v>0</v>
      </c>
      <c r="O1081" s="3">
        <v>0</v>
      </c>
      <c r="P1081" s="3">
        <v>0</v>
      </c>
      <c r="Q1081" s="3" t="s">
        <v>352</v>
      </c>
      <c r="R1081" s="3" t="s">
        <v>47</v>
      </c>
      <c r="S1081" s="3">
        <v>4</v>
      </c>
      <c r="T1081" s="3">
        <v>0</v>
      </c>
      <c r="U1081" s="3">
        <v>4</v>
      </c>
      <c r="V1081" s="3">
        <v>4</v>
      </c>
      <c r="W1081" s="3">
        <v>0</v>
      </c>
      <c r="X1081" s="3" t="s">
        <v>147</v>
      </c>
      <c r="Y1081" s="3">
        <v>0</v>
      </c>
      <c r="Z1081" s="3">
        <v>0</v>
      </c>
      <c r="AA1081" s="3">
        <v>0</v>
      </c>
      <c r="AB1081" s="3">
        <v>0</v>
      </c>
      <c r="AC1081" s="3">
        <v>1</v>
      </c>
      <c r="AD1081" s="3">
        <v>1</v>
      </c>
      <c r="AE1081" s="3">
        <v>14</v>
      </c>
      <c r="AF1081" s="3" t="s">
        <v>0</v>
      </c>
      <c r="AG1081" s="3" t="s">
        <v>0</v>
      </c>
    </row>
    <row r="1082" spans="1:33" ht="76.5" x14ac:dyDescent="0.2">
      <c r="A1082" s="5" t="str">
        <f>HYPERLINK("http://www.patentics.cn/invokexml.do?sf=ShowPatent&amp;spn=WO2016037516&amp;sv=12f73cd49e9ca4aba671c19e10a91380","WO2016037516")</f>
        <v>WO2016037516</v>
      </c>
      <c r="B1082" s="3" t="s">
        <v>5038</v>
      </c>
      <c r="C1082" s="3" t="s">
        <v>5032</v>
      </c>
      <c r="D1082" s="3" t="s">
        <v>5033</v>
      </c>
      <c r="E1082" s="3" t="s">
        <v>5034</v>
      </c>
      <c r="F1082" s="3" t="s">
        <v>5035</v>
      </c>
      <c r="G1082" s="3" t="s">
        <v>2579</v>
      </c>
      <c r="H1082" s="3" t="s">
        <v>5036</v>
      </c>
      <c r="I1082" s="3" t="s">
        <v>5039</v>
      </c>
      <c r="J1082" s="3" t="s">
        <v>5037</v>
      </c>
      <c r="K1082" s="3" t="s">
        <v>82</v>
      </c>
      <c r="L1082" s="3" t="s">
        <v>2817</v>
      </c>
      <c r="M1082" s="3" t="s">
        <v>0</v>
      </c>
      <c r="N1082" s="3" t="s">
        <v>0</v>
      </c>
      <c r="O1082" s="3">
        <v>0</v>
      </c>
      <c r="P1082" s="3">
        <v>0</v>
      </c>
      <c r="Q1082" s="3" t="s">
        <v>352</v>
      </c>
      <c r="R1082" s="3" t="s">
        <v>47</v>
      </c>
      <c r="S1082" s="3">
        <v>4</v>
      </c>
      <c r="T1082" s="3">
        <v>0</v>
      </c>
      <c r="U1082" s="3">
        <v>4</v>
      </c>
      <c r="V1082" s="3">
        <v>4</v>
      </c>
      <c r="W1082" s="3">
        <v>0</v>
      </c>
      <c r="X1082" s="3" t="s">
        <v>147</v>
      </c>
      <c r="Y1082" s="3">
        <v>0</v>
      </c>
      <c r="Z1082" s="3">
        <v>0</v>
      </c>
      <c r="AA1082" s="3">
        <v>0</v>
      </c>
      <c r="AB1082" s="3">
        <v>0</v>
      </c>
      <c r="AC1082" s="3">
        <v>1</v>
      </c>
      <c r="AD1082" s="3">
        <v>1</v>
      </c>
      <c r="AE1082" s="3">
        <v>14</v>
      </c>
      <c r="AF1082" s="3" t="s">
        <v>0</v>
      </c>
      <c r="AG1082" s="3" t="s">
        <v>0</v>
      </c>
    </row>
    <row r="1083" spans="1:33" ht="25.5" x14ac:dyDescent="0.2">
      <c r="A1083" s="4" t="str">
        <f>HYPERLINK("http://www.patentics.cn/invokexml.do?sf=ShowPatent&amp;spn=CN102255689&amp;sv=550884e7f725979a3592351679e5d26e","CN102255689")</f>
        <v>CN102255689</v>
      </c>
      <c r="B1083" s="2" t="s">
        <v>5040</v>
      </c>
      <c r="C1083" s="2" t="s">
        <v>5041</v>
      </c>
      <c r="D1083" s="2" t="s">
        <v>38</v>
      </c>
      <c r="E1083" s="2" t="s">
        <v>38</v>
      </c>
      <c r="F1083" s="2" t="s">
        <v>5042</v>
      </c>
      <c r="G1083" s="2" t="s">
        <v>5043</v>
      </c>
      <c r="H1083" s="2" t="s">
        <v>5044</v>
      </c>
      <c r="I1083" s="2" t="s">
        <v>5044</v>
      </c>
      <c r="J1083" s="2" t="s">
        <v>5045</v>
      </c>
      <c r="K1083" s="2" t="s">
        <v>58</v>
      </c>
      <c r="L1083" s="2" t="s">
        <v>613</v>
      </c>
      <c r="M1083" s="2" t="s">
        <v>0</v>
      </c>
      <c r="N1083" s="2" t="s">
        <v>0</v>
      </c>
      <c r="O1083" s="2">
        <v>24</v>
      </c>
      <c r="P1083" s="2">
        <v>12</v>
      </c>
      <c r="Q1083" s="2" t="s">
        <v>46</v>
      </c>
      <c r="R1083" s="2" t="s">
        <v>47</v>
      </c>
      <c r="S1083" s="2">
        <v>0</v>
      </c>
      <c r="T1083" s="2">
        <v>0</v>
      </c>
      <c r="U1083" s="2">
        <v>0</v>
      </c>
      <c r="V1083" s="2">
        <v>0</v>
      </c>
      <c r="W1083" s="2">
        <v>24</v>
      </c>
      <c r="X1083" s="2" t="s">
        <v>5046</v>
      </c>
      <c r="Y1083" s="2">
        <v>2</v>
      </c>
      <c r="Z1083" s="2">
        <v>22</v>
      </c>
      <c r="AA1083" s="2">
        <v>6</v>
      </c>
      <c r="AB1083" s="2">
        <v>3</v>
      </c>
      <c r="AC1083" s="2">
        <v>1</v>
      </c>
      <c r="AD1083" s="2">
        <v>2</v>
      </c>
      <c r="AE1083" s="2" t="s">
        <v>0</v>
      </c>
      <c r="AF1083" s="2">
        <v>2</v>
      </c>
      <c r="AG1083" s="2" t="s">
        <v>2231</v>
      </c>
    </row>
    <row r="1084" spans="1:33" ht="89.25" x14ac:dyDescent="0.2">
      <c r="A1084" s="5" t="str">
        <f>HYPERLINK("http://www.patentics.cn/invokexml.do?sf=ShowPatent&amp;spn=WO2013169666&amp;sv=86226e79c53414069424dd37c735bc00","WO2013169666")</f>
        <v>WO2013169666</v>
      </c>
      <c r="B1084" s="3" t="s">
        <v>5047</v>
      </c>
      <c r="C1084" s="3" t="s">
        <v>5048</v>
      </c>
      <c r="D1084" s="3" t="s">
        <v>52</v>
      </c>
      <c r="E1084" s="3" t="s">
        <v>52</v>
      </c>
      <c r="F1084" s="3" t="s">
        <v>5049</v>
      </c>
      <c r="G1084" s="3" t="s">
        <v>5050</v>
      </c>
      <c r="H1084" s="3" t="s">
        <v>2717</v>
      </c>
      <c r="I1084" s="3" t="s">
        <v>3888</v>
      </c>
      <c r="J1084" s="3" t="s">
        <v>2726</v>
      </c>
      <c r="K1084" s="3" t="s">
        <v>84</v>
      </c>
      <c r="L1084" s="3" t="s">
        <v>506</v>
      </c>
      <c r="M1084" s="3" t="s">
        <v>0</v>
      </c>
      <c r="N1084" s="3" t="s">
        <v>0</v>
      </c>
      <c r="O1084" s="3">
        <v>53</v>
      </c>
      <c r="P1084" s="3">
        <v>23</v>
      </c>
      <c r="Q1084" s="3" t="s">
        <v>352</v>
      </c>
      <c r="R1084" s="3" t="s">
        <v>61</v>
      </c>
      <c r="S1084" s="3">
        <v>7</v>
      </c>
      <c r="T1084" s="3">
        <v>0</v>
      </c>
      <c r="U1084" s="3">
        <v>7</v>
      </c>
      <c r="V1084" s="3">
        <v>3</v>
      </c>
      <c r="W1084" s="3">
        <v>8</v>
      </c>
      <c r="X1084" s="3" t="s">
        <v>147</v>
      </c>
      <c r="Y1084" s="3">
        <v>0</v>
      </c>
      <c r="Z1084" s="3">
        <v>8</v>
      </c>
      <c r="AA1084" s="3">
        <v>0</v>
      </c>
      <c r="AB1084" s="3">
        <v>1</v>
      </c>
      <c r="AC1084" s="3">
        <v>5</v>
      </c>
      <c r="AD1084" s="3">
        <v>5</v>
      </c>
      <c r="AE1084" s="3">
        <v>14</v>
      </c>
      <c r="AF1084" s="3" t="s">
        <v>0</v>
      </c>
      <c r="AG1084" s="3" t="s">
        <v>0</v>
      </c>
    </row>
    <row r="1085" spans="1:33" ht="114.75" x14ac:dyDescent="0.2">
      <c r="A1085" s="5" t="str">
        <f>HYPERLINK("http://www.patentics.cn/invokexml.do?sf=ShowPatent&amp;spn=WO2013169666A3&amp;sv=1558781c223a0ecadb93492bf4bf1310","WO2013169666A3")</f>
        <v>WO2013169666A3</v>
      </c>
      <c r="B1085" s="3" t="s">
        <v>5051</v>
      </c>
      <c r="C1085" s="3" t="s">
        <v>5052</v>
      </c>
      <c r="D1085" s="3" t="s">
        <v>52</v>
      </c>
      <c r="E1085" s="3" t="s">
        <v>52</v>
      </c>
      <c r="F1085" s="3" t="s">
        <v>5053</v>
      </c>
      <c r="G1085" s="3" t="s">
        <v>5054</v>
      </c>
      <c r="H1085" s="3" t="s">
        <v>2717</v>
      </c>
      <c r="I1085" s="3" t="s">
        <v>2717</v>
      </c>
      <c r="J1085" s="3" t="s">
        <v>968</v>
      </c>
      <c r="K1085" s="3" t="s">
        <v>84</v>
      </c>
      <c r="L1085" s="3" t="s">
        <v>506</v>
      </c>
      <c r="M1085" s="3" t="s">
        <v>84</v>
      </c>
      <c r="N1085" s="3" t="s">
        <v>84</v>
      </c>
      <c r="O1085" s="3">
        <v>0</v>
      </c>
      <c r="P1085" s="3">
        <v>0</v>
      </c>
      <c r="Q1085" s="3" t="s">
        <v>352</v>
      </c>
      <c r="R1085" s="3" t="s">
        <v>61</v>
      </c>
      <c r="S1085" s="3">
        <v>7</v>
      </c>
      <c r="T1085" s="3">
        <v>0</v>
      </c>
      <c r="U1085" s="3">
        <v>7</v>
      </c>
      <c r="V1085" s="3">
        <v>3</v>
      </c>
      <c r="W1085" s="3">
        <v>0</v>
      </c>
      <c r="X1085" s="3" t="s">
        <v>147</v>
      </c>
      <c r="Y1085" s="3">
        <v>0</v>
      </c>
      <c r="Z1085" s="3">
        <v>0</v>
      </c>
      <c r="AA1085" s="3">
        <v>0</v>
      </c>
      <c r="AB1085" s="3">
        <v>0</v>
      </c>
      <c r="AC1085" s="3">
        <v>5</v>
      </c>
      <c r="AD1085" s="3">
        <v>5</v>
      </c>
      <c r="AE1085" s="3">
        <v>14</v>
      </c>
      <c r="AF1085" s="3" t="s">
        <v>0</v>
      </c>
      <c r="AG1085" s="3" t="s">
        <v>0</v>
      </c>
    </row>
    <row r="1086" spans="1:33" ht="51" x14ac:dyDescent="0.2">
      <c r="A1086" s="4" t="str">
        <f>HYPERLINK("http://www.patentics.cn/invokexml.do?sf=ShowPatent&amp;spn=CN102201897&amp;sv=79ce80dc011102541d74839420b8bfeb","CN102201897")</f>
        <v>CN102201897</v>
      </c>
      <c r="B1086" s="2" t="s">
        <v>5055</v>
      </c>
      <c r="C1086" s="2" t="s">
        <v>5056</v>
      </c>
      <c r="D1086" s="2" t="s">
        <v>38</v>
      </c>
      <c r="E1086" s="2" t="s">
        <v>38</v>
      </c>
      <c r="F1086" s="2" t="s">
        <v>5057</v>
      </c>
      <c r="G1086" s="2" t="s">
        <v>5043</v>
      </c>
      <c r="H1086" s="2" t="s">
        <v>5058</v>
      </c>
      <c r="I1086" s="2" t="s">
        <v>5058</v>
      </c>
      <c r="J1086" s="2" t="s">
        <v>5059</v>
      </c>
      <c r="K1086" s="2" t="s">
        <v>58</v>
      </c>
      <c r="L1086" s="2" t="s">
        <v>249</v>
      </c>
      <c r="M1086" s="2" t="s">
        <v>0</v>
      </c>
      <c r="N1086" s="2" t="s">
        <v>0</v>
      </c>
      <c r="O1086" s="2">
        <v>15</v>
      </c>
      <c r="P1086" s="2">
        <v>15</v>
      </c>
      <c r="Q1086" s="2" t="s">
        <v>46</v>
      </c>
      <c r="R1086" s="2" t="s">
        <v>47</v>
      </c>
      <c r="S1086" s="2">
        <v>0</v>
      </c>
      <c r="T1086" s="2">
        <v>0</v>
      </c>
      <c r="U1086" s="2">
        <v>0</v>
      </c>
      <c r="V1086" s="2">
        <v>0</v>
      </c>
      <c r="W1086" s="2">
        <v>13</v>
      </c>
      <c r="X1086" s="2" t="s">
        <v>5060</v>
      </c>
      <c r="Y1086" s="2">
        <v>5</v>
      </c>
      <c r="Z1086" s="2">
        <v>8</v>
      </c>
      <c r="AA1086" s="2">
        <v>4</v>
      </c>
      <c r="AB1086" s="2">
        <v>2</v>
      </c>
      <c r="AC1086" s="2">
        <v>1</v>
      </c>
      <c r="AD1086" s="2">
        <v>2</v>
      </c>
      <c r="AE1086" s="2" t="s">
        <v>0</v>
      </c>
      <c r="AF1086" s="2">
        <v>2</v>
      </c>
      <c r="AG1086" s="2" t="s">
        <v>2231</v>
      </c>
    </row>
    <row r="1087" spans="1:33" ht="89.25" x14ac:dyDescent="0.2">
      <c r="A1087" s="5" t="str">
        <f>HYPERLINK("http://www.patentics.cn/invokexml.do?sf=ShowPatent&amp;spn=WO2013169666&amp;sv=86226e79c53414069424dd37c735bc00","WO2013169666")</f>
        <v>WO2013169666</v>
      </c>
      <c r="B1087" s="3" t="s">
        <v>5047</v>
      </c>
      <c r="C1087" s="3" t="s">
        <v>5048</v>
      </c>
      <c r="D1087" s="3" t="s">
        <v>52</v>
      </c>
      <c r="E1087" s="3" t="s">
        <v>52</v>
      </c>
      <c r="F1087" s="3" t="s">
        <v>5049</v>
      </c>
      <c r="G1087" s="3" t="s">
        <v>5050</v>
      </c>
      <c r="H1087" s="3" t="s">
        <v>2717</v>
      </c>
      <c r="I1087" s="3" t="s">
        <v>3888</v>
      </c>
      <c r="J1087" s="3" t="s">
        <v>2726</v>
      </c>
      <c r="K1087" s="3" t="s">
        <v>84</v>
      </c>
      <c r="L1087" s="3" t="s">
        <v>506</v>
      </c>
      <c r="M1087" s="3" t="s">
        <v>0</v>
      </c>
      <c r="N1087" s="3" t="s">
        <v>0</v>
      </c>
      <c r="O1087" s="3">
        <v>53</v>
      </c>
      <c r="P1087" s="3">
        <v>23</v>
      </c>
      <c r="Q1087" s="3" t="s">
        <v>352</v>
      </c>
      <c r="R1087" s="3" t="s">
        <v>61</v>
      </c>
      <c r="S1087" s="3">
        <v>7</v>
      </c>
      <c r="T1087" s="3">
        <v>0</v>
      </c>
      <c r="U1087" s="3">
        <v>7</v>
      </c>
      <c r="V1087" s="3">
        <v>3</v>
      </c>
      <c r="W1087" s="3">
        <v>8</v>
      </c>
      <c r="X1087" s="3" t="s">
        <v>147</v>
      </c>
      <c r="Y1087" s="3">
        <v>0</v>
      </c>
      <c r="Z1087" s="3">
        <v>8</v>
      </c>
      <c r="AA1087" s="3">
        <v>0</v>
      </c>
      <c r="AB1087" s="3">
        <v>1</v>
      </c>
      <c r="AC1087" s="3">
        <v>5</v>
      </c>
      <c r="AD1087" s="3">
        <v>5</v>
      </c>
      <c r="AE1087" s="3">
        <v>14</v>
      </c>
      <c r="AF1087" s="3" t="s">
        <v>0</v>
      </c>
      <c r="AG1087" s="3" t="s">
        <v>0</v>
      </c>
    </row>
    <row r="1088" spans="1:33" ht="114.75" x14ac:dyDescent="0.2">
      <c r="A1088" s="5" t="str">
        <f>HYPERLINK("http://www.patentics.cn/invokexml.do?sf=ShowPatent&amp;spn=WO2013169666A3&amp;sv=1558781c223a0ecadb93492bf4bf1310","WO2013169666A3")</f>
        <v>WO2013169666A3</v>
      </c>
      <c r="B1088" s="3" t="s">
        <v>5051</v>
      </c>
      <c r="C1088" s="3" t="s">
        <v>5052</v>
      </c>
      <c r="D1088" s="3" t="s">
        <v>52</v>
      </c>
      <c r="E1088" s="3" t="s">
        <v>52</v>
      </c>
      <c r="F1088" s="3" t="s">
        <v>5053</v>
      </c>
      <c r="G1088" s="3" t="s">
        <v>5054</v>
      </c>
      <c r="H1088" s="3" t="s">
        <v>2717</v>
      </c>
      <c r="I1088" s="3" t="s">
        <v>2717</v>
      </c>
      <c r="J1088" s="3" t="s">
        <v>968</v>
      </c>
      <c r="K1088" s="3" t="s">
        <v>84</v>
      </c>
      <c r="L1088" s="3" t="s">
        <v>506</v>
      </c>
      <c r="M1088" s="3" t="s">
        <v>84</v>
      </c>
      <c r="N1088" s="3" t="s">
        <v>84</v>
      </c>
      <c r="O1088" s="3">
        <v>0</v>
      </c>
      <c r="P1088" s="3">
        <v>0</v>
      </c>
      <c r="Q1088" s="3" t="s">
        <v>352</v>
      </c>
      <c r="R1088" s="3" t="s">
        <v>61</v>
      </c>
      <c r="S1088" s="3">
        <v>7</v>
      </c>
      <c r="T1088" s="3">
        <v>0</v>
      </c>
      <c r="U1088" s="3">
        <v>7</v>
      </c>
      <c r="V1088" s="3">
        <v>3</v>
      </c>
      <c r="W1088" s="3">
        <v>0</v>
      </c>
      <c r="X1088" s="3" t="s">
        <v>147</v>
      </c>
      <c r="Y1088" s="3">
        <v>0</v>
      </c>
      <c r="Z1088" s="3">
        <v>0</v>
      </c>
      <c r="AA1088" s="3">
        <v>0</v>
      </c>
      <c r="AB1088" s="3">
        <v>0</v>
      </c>
      <c r="AC1088" s="3">
        <v>5</v>
      </c>
      <c r="AD1088" s="3">
        <v>5</v>
      </c>
      <c r="AE1088" s="3">
        <v>14</v>
      </c>
      <c r="AF1088" s="3" t="s">
        <v>0</v>
      </c>
      <c r="AG1088" s="3" t="s">
        <v>0</v>
      </c>
    </row>
    <row r="1089" spans="1:33" ht="38.25" x14ac:dyDescent="0.2">
      <c r="A1089" s="4" t="str">
        <f>HYPERLINK("http://www.patentics.cn/invokexml.do?sf=ShowPatent&amp;spn=CN102195838&amp;sv=df8940163c75200f405976de72fa903f","CN102195838")</f>
        <v>CN102195838</v>
      </c>
      <c r="B1089" s="2" t="s">
        <v>5061</v>
      </c>
      <c r="C1089" s="2" t="s">
        <v>5062</v>
      </c>
      <c r="D1089" s="2" t="s">
        <v>38</v>
      </c>
      <c r="E1089" s="2" t="s">
        <v>38</v>
      </c>
      <c r="F1089" s="2" t="s">
        <v>5063</v>
      </c>
      <c r="G1089" s="2" t="s">
        <v>5064</v>
      </c>
      <c r="H1089" s="2" t="s">
        <v>0</v>
      </c>
      <c r="I1089" s="2" t="s">
        <v>1969</v>
      </c>
      <c r="J1089" s="2" t="s">
        <v>3706</v>
      </c>
      <c r="K1089" s="2" t="s">
        <v>58</v>
      </c>
      <c r="L1089" s="2" t="s">
        <v>289</v>
      </c>
      <c r="M1089" s="2" t="s">
        <v>0</v>
      </c>
      <c r="N1089" s="2" t="s">
        <v>0</v>
      </c>
      <c r="O1089" s="2">
        <v>10</v>
      </c>
      <c r="P1089" s="2">
        <v>24</v>
      </c>
      <c r="Q1089" s="2" t="s">
        <v>46</v>
      </c>
      <c r="R1089" s="2" t="s">
        <v>47</v>
      </c>
      <c r="S1089" s="2">
        <v>0</v>
      </c>
      <c r="T1089" s="2">
        <v>0</v>
      </c>
      <c r="U1089" s="2">
        <v>0</v>
      </c>
      <c r="V1089" s="2">
        <v>0</v>
      </c>
      <c r="W1089" s="2">
        <v>9</v>
      </c>
      <c r="X1089" s="2" t="s">
        <v>5065</v>
      </c>
      <c r="Y1089" s="2">
        <v>0</v>
      </c>
      <c r="Z1089" s="2">
        <v>9</v>
      </c>
      <c r="AA1089" s="2">
        <v>6</v>
      </c>
      <c r="AB1089" s="2">
        <v>3</v>
      </c>
      <c r="AC1089" s="2">
        <v>0</v>
      </c>
      <c r="AD1089" s="2">
        <v>0</v>
      </c>
      <c r="AE1089" s="2" t="s">
        <v>0</v>
      </c>
      <c r="AF1089" s="2">
        <v>2</v>
      </c>
      <c r="AG1089" s="2" t="s">
        <v>49</v>
      </c>
    </row>
    <row r="1090" spans="1:33" ht="127.5" x14ac:dyDescent="0.2">
      <c r="A1090" s="5" t="str">
        <f>HYPERLINK("http://www.patentics.cn/invokexml.do?sf=ShowPatent&amp;spn=WO2013166673&amp;sv=afe5dda05ac8ab88bfb2ec1f3f021069","WO2013166673")</f>
        <v>WO2013166673</v>
      </c>
      <c r="B1090" s="3" t="s">
        <v>5066</v>
      </c>
      <c r="C1090" s="3" t="s">
        <v>5067</v>
      </c>
      <c r="D1090" s="3" t="s">
        <v>5068</v>
      </c>
      <c r="E1090" s="3" t="s">
        <v>5069</v>
      </c>
      <c r="F1090" s="3" t="s">
        <v>5070</v>
      </c>
      <c r="G1090" s="3" t="s">
        <v>5071</v>
      </c>
      <c r="H1090" s="3" t="s">
        <v>5072</v>
      </c>
      <c r="I1090" s="3" t="s">
        <v>5072</v>
      </c>
      <c r="J1090" s="3" t="s">
        <v>2726</v>
      </c>
      <c r="K1090" s="3" t="s">
        <v>58</v>
      </c>
      <c r="L1090" s="3" t="s">
        <v>289</v>
      </c>
      <c r="M1090" s="3" t="s">
        <v>0</v>
      </c>
      <c r="N1090" s="3" t="s">
        <v>0</v>
      </c>
      <c r="O1090" s="3">
        <v>24</v>
      </c>
      <c r="P1090" s="3">
        <v>11</v>
      </c>
      <c r="Q1090" s="3" t="s">
        <v>352</v>
      </c>
      <c r="R1090" s="3" t="s">
        <v>47</v>
      </c>
      <c r="S1090" s="3">
        <v>4</v>
      </c>
      <c r="T1090" s="3">
        <v>0</v>
      </c>
      <c r="U1090" s="3">
        <v>4</v>
      </c>
      <c r="V1090" s="3">
        <v>2</v>
      </c>
      <c r="W1090" s="3">
        <v>0</v>
      </c>
      <c r="X1090" s="3" t="s">
        <v>147</v>
      </c>
      <c r="Y1090" s="3">
        <v>0</v>
      </c>
      <c r="Z1090" s="3">
        <v>0</v>
      </c>
      <c r="AA1090" s="3">
        <v>0</v>
      </c>
      <c r="AB1090" s="3">
        <v>0</v>
      </c>
      <c r="AC1090" s="3">
        <v>3</v>
      </c>
      <c r="AD1090" s="3">
        <v>4</v>
      </c>
      <c r="AE1090" s="3">
        <v>14</v>
      </c>
      <c r="AF1090" s="3" t="s">
        <v>0</v>
      </c>
      <c r="AG1090" s="3" t="s">
        <v>0</v>
      </c>
    </row>
    <row r="1091" spans="1:33" ht="114.75" x14ac:dyDescent="0.2">
      <c r="A1091" s="5" t="str">
        <f>HYPERLINK("http://www.patentics.cn/invokexml.do?sf=ShowPatent&amp;spn=WO2014094207&amp;sv=97cf55b8143285b24eb853b74c40d8fb","WO2014094207")</f>
        <v>WO2014094207</v>
      </c>
      <c r="B1091" s="3" t="s">
        <v>5073</v>
      </c>
      <c r="C1091" s="3" t="s">
        <v>5074</v>
      </c>
      <c r="D1091" s="3" t="s">
        <v>5075</v>
      </c>
      <c r="E1091" s="3" t="s">
        <v>5076</v>
      </c>
      <c r="F1091" s="3" t="s">
        <v>5077</v>
      </c>
      <c r="G1091" s="3" t="s">
        <v>5078</v>
      </c>
      <c r="H1091" s="3" t="s">
        <v>5079</v>
      </c>
      <c r="I1091" s="3" t="s">
        <v>5079</v>
      </c>
      <c r="J1091" s="3" t="s">
        <v>5080</v>
      </c>
      <c r="K1091" s="3" t="s">
        <v>58</v>
      </c>
      <c r="L1091" s="3" t="s">
        <v>289</v>
      </c>
      <c r="M1091" s="3" t="s">
        <v>0</v>
      </c>
      <c r="N1091" s="3" t="s">
        <v>0</v>
      </c>
      <c r="O1091" s="3">
        <v>20</v>
      </c>
      <c r="P1091" s="3">
        <v>13</v>
      </c>
      <c r="Q1091" s="3" t="s">
        <v>352</v>
      </c>
      <c r="R1091" s="3" t="s">
        <v>47</v>
      </c>
      <c r="S1091" s="3">
        <v>4</v>
      </c>
      <c r="T1091" s="3">
        <v>0</v>
      </c>
      <c r="U1091" s="3">
        <v>4</v>
      </c>
      <c r="V1091" s="3">
        <v>3</v>
      </c>
      <c r="W1091" s="3">
        <v>0</v>
      </c>
      <c r="X1091" s="3" t="s">
        <v>147</v>
      </c>
      <c r="Y1091" s="3">
        <v>0</v>
      </c>
      <c r="Z1091" s="3">
        <v>0</v>
      </c>
      <c r="AA1091" s="3">
        <v>0</v>
      </c>
      <c r="AB1091" s="3">
        <v>0</v>
      </c>
      <c r="AC1091" s="3">
        <v>3</v>
      </c>
      <c r="AD1091" s="3">
        <v>4</v>
      </c>
      <c r="AE1091" s="3">
        <v>14</v>
      </c>
      <c r="AF1091" s="3" t="s">
        <v>0</v>
      </c>
      <c r="AG1091" s="3" t="s">
        <v>0</v>
      </c>
    </row>
    <row r="1092" spans="1:33" ht="38.25" x14ac:dyDescent="0.2">
      <c r="A1092" s="4" t="str">
        <f>HYPERLINK("http://www.patentics.cn/invokexml.do?sf=ShowPatent&amp;spn=CN102195864&amp;sv=56da1899d5960d590151db92b76c0f0d","CN102195864")</f>
        <v>CN102195864</v>
      </c>
      <c r="B1092" s="2" t="s">
        <v>5081</v>
      </c>
      <c r="C1092" s="2" t="s">
        <v>5082</v>
      </c>
      <c r="D1092" s="2" t="s">
        <v>38</v>
      </c>
      <c r="E1092" s="2" t="s">
        <v>38</v>
      </c>
      <c r="F1092" s="2" t="s">
        <v>5083</v>
      </c>
      <c r="G1092" s="2" t="s">
        <v>5084</v>
      </c>
      <c r="H1092" s="2" t="s">
        <v>3079</v>
      </c>
      <c r="I1092" s="2" t="s">
        <v>3079</v>
      </c>
      <c r="J1092" s="2" t="s">
        <v>3706</v>
      </c>
      <c r="K1092" s="2" t="s">
        <v>58</v>
      </c>
      <c r="L1092" s="2" t="s">
        <v>1236</v>
      </c>
      <c r="M1092" s="2" t="s">
        <v>0</v>
      </c>
      <c r="N1092" s="2" t="s">
        <v>0</v>
      </c>
      <c r="O1092" s="2">
        <v>10</v>
      </c>
      <c r="P1092" s="2">
        <v>17</v>
      </c>
      <c r="Q1092" s="2" t="s">
        <v>46</v>
      </c>
      <c r="R1092" s="2" t="s">
        <v>47</v>
      </c>
      <c r="S1092" s="2">
        <v>0</v>
      </c>
      <c r="T1092" s="2">
        <v>0</v>
      </c>
      <c r="U1092" s="2">
        <v>0</v>
      </c>
      <c r="V1092" s="2">
        <v>0</v>
      </c>
      <c r="W1092" s="2">
        <v>5</v>
      </c>
      <c r="X1092" s="2" t="s">
        <v>5085</v>
      </c>
      <c r="Y1092" s="2">
        <v>2</v>
      </c>
      <c r="Z1092" s="2">
        <v>3</v>
      </c>
      <c r="AA1092" s="2">
        <v>3</v>
      </c>
      <c r="AB1092" s="2">
        <v>3</v>
      </c>
      <c r="AC1092" s="2">
        <v>1</v>
      </c>
      <c r="AD1092" s="2">
        <v>2</v>
      </c>
      <c r="AE1092" s="2" t="s">
        <v>0</v>
      </c>
      <c r="AF1092" s="2">
        <v>2</v>
      </c>
      <c r="AG1092" s="2" t="s">
        <v>2523</v>
      </c>
    </row>
    <row r="1093" spans="1:33" ht="76.5" x14ac:dyDescent="0.2">
      <c r="A1093" s="5" t="str">
        <f>HYPERLINK("http://www.patentics.cn/invokexml.do?sf=ShowPatent&amp;spn=US9072094&amp;sv=67bc91ccfca26df7ec37941a5d49cd1b","US9072094")</f>
        <v>US9072094</v>
      </c>
      <c r="B1093" s="3" t="s">
        <v>5086</v>
      </c>
      <c r="C1093" s="3" t="s">
        <v>5087</v>
      </c>
      <c r="D1093" s="3" t="s">
        <v>52</v>
      </c>
      <c r="E1093" s="3" t="s">
        <v>52</v>
      </c>
      <c r="F1093" s="3" t="s">
        <v>5088</v>
      </c>
      <c r="G1093" s="3" t="s">
        <v>1050</v>
      </c>
      <c r="H1093" s="3" t="s">
        <v>3836</v>
      </c>
      <c r="I1093" s="3" t="s">
        <v>5089</v>
      </c>
      <c r="J1093" s="3" t="s">
        <v>1075</v>
      </c>
      <c r="K1093" s="3" t="s">
        <v>58</v>
      </c>
      <c r="L1093" s="3" t="s">
        <v>289</v>
      </c>
      <c r="M1093" s="3" t="s">
        <v>0</v>
      </c>
      <c r="N1093" s="3" t="s">
        <v>0</v>
      </c>
      <c r="O1093" s="3">
        <v>0</v>
      </c>
      <c r="P1093" s="3">
        <v>3</v>
      </c>
      <c r="Q1093" s="3" t="s">
        <v>60</v>
      </c>
      <c r="R1093" s="3" t="s">
        <v>61</v>
      </c>
      <c r="S1093" s="3">
        <v>24</v>
      </c>
      <c r="T1093" s="3">
        <v>13</v>
      </c>
      <c r="U1093" s="3">
        <v>11</v>
      </c>
      <c r="V1093" s="3">
        <v>10</v>
      </c>
      <c r="W1093" s="3">
        <v>0</v>
      </c>
      <c r="X1093" s="3" t="s">
        <v>147</v>
      </c>
      <c r="Y1093" s="3">
        <v>0</v>
      </c>
      <c r="Z1093" s="3">
        <v>0</v>
      </c>
      <c r="AA1093" s="3">
        <v>0</v>
      </c>
      <c r="AB1093" s="3">
        <v>0</v>
      </c>
      <c r="AC1093" s="3">
        <v>4</v>
      </c>
      <c r="AD1093" s="3">
        <v>4</v>
      </c>
      <c r="AE1093" s="3">
        <v>14</v>
      </c>
      <c r="AF1093" s="3" t="s">
        <v>0</v>
      </c>
      <c r="AG1093" s="3" t="s">
        <v>49</v>
      </c>
    </row>
    <row r="1094" spans="1:33" ht="76.5" x14ac:dyDescent="0.2">
      <c r="A1094" s="5" t="str">
        <f>HYPERLINK("http://www.patentics.cn/invokexml.do?sf=ShowPatent&amp;spn=WO2014062698&amp;sv=142daa2304eaba6a7d3c6654cc2ec404","WO2014062698")</f>
        <v>WO2014062698</v>
      </c>
      <c r="B1094" s="3" t="s">
        <v>5090</v>
      </c>
      <c r="C1094" s="3" t="s">
        <v>5087</v>
      </c>
      <c r="D1094" s="3" t="s">
        <v>52</v>
      </c>
      <c r="E1094" s="3" t="s">
        <v>52</v>
      </c>
      <c r="F1094" s="3" t="s">
        <v>5091</v>
      </c>
      <c r="G1094" s="3" t="s">
        <v>5092</v>
      </c>
      <c r="H1094" s="3" t="s">
        <v>3836</v>
      </c>
      <c r="I1094" s="3" t="s">
        <v>5093</v>
      </c>
      <c r="J1094" s="3" t="s">
        <v>5094</v>
      </c>
      <c r="K1094" s="3" t="s">
        <v>58</v>
      </c>
      <c r="L1094" s="3" t="s">
        <v>188</v>
      </c>
      <c r="M1094" s="3" t="s">
        <v>0</v>
      </c>
      <c r="N1094" s="3" t="s">
        <v>0</v>
      </c>
      <c r="O1094" s="3">
        <v>60</v>
      </c>
      <c r="P1094" s="3">
        <v>6</v>
      </c>
      <c r="Q1094" s="3" t="s">
        <v>352</v>
      </c>
      <c r="R1094" s="3" t="s">
        <v>61</v>
      </c>
      <c r="S1094" s="3">
        <v>3</v>
      </c>
      <c r="T1094" s="3">
        <v>0</v>
      </c>
      <c r="U1094" s="3">
        <v>3</v>
      </c>
      <c r="V1094" s="3">
        <v>3</v>
      </c>
      <c r="W1094" s="3">
        <v>0</v>
      </c>
      <c r="X1094" s="3" t="s">
        <v>147</v>
      </c>
      <c r="Y1094" s="3">
        <v>0</v>
      </c>
      <c r="Z1094" s="3">
        <v>0</v>
      </c>
      <c r="AA1094" s="3">
        <v>0</v>
      </c>
      <c r="AB1094" s="3">
        <v>0</v>
      </c>
      <c r="AC1094" s="3">
        <v>4</v>
      </c>
      <c r="AD1094" s="3">
        <v>4</v>
      </c>
      <c r="AE1094" s="3">
        <v>14</v>
      </c>
      <c r="AF1094" s="3" t="s">
        <v>0</v>
      </c>
      <c r="AG1094" s="3" t="s">
        <v>0</v>
      </c>
    </row>
    <row r="1095" spans="1:33" ht="38.25" x14ac:dyDescent="0.2">
      <c r="A1095" s="4" t="str">
        <f>HYPERLINK("http://www.patentics.cn/invokexml.do?sf=ShowPatent&amp;spn=CN102075309&amp;sv=1dfda9702bbce1a61969c2b8b81dc6d6","CN102075309")</f>
        <v>CN102075309</v>
      </c>
      <c r="B1095" s="2" t="s">
        <v>5095</v>
      </c>
      <c r="C1095" s="2" t="s">
        <v>5096</v>
      </c>
      <c r="D1095" s="2" t="s">
        <v>38</v>
      </c>
      <c r="E1095" s="2" t="s">
        <v>38</v>
      </c>
      <c r="F1095" s="2" t="s">
        <v>5097</v>
      </c>
      <c r="G1095" s="2" t="s">
        <v>5098</v>
      </c>
      <c r="H1095" s="2" t="s">
        <v>5099</v>
      </c>
      <c r="I1095" s="2" t="s">
        <v>5099</v>
      </c>
      <c r="J1095" s="2" t="s">
        <v>5100</v>
      </c>
      <c r="K1095" s="2" t="s">
        <v>58</v>
      </c>
      <c r="L1095" s="2" t="s">
        <v>2734</v>
      </c>
      <c r="M1095" s="2" t="s">
        <v>0</v>
      </c>
      <c r="N1095" s="2" t="s">
        <v>0</v>
      </c>
      <c r="O1095" s="2">
        <v>13</v>
      </c>
      <c r="P1095" s="2">
        <v>12</v>
      </c>
      <c r="Q1095" s="2" t="s">
        <v>46</v>
      </c>
      <c r="R1095" s="2" t="s">
        <v>47</v>
      </c>
      <c r="S1095" s="2">
        <v>0</v>
      </c>
      <c r="T1095" s="2">
        <v>0</v>
      </c>
      <c r="U1095" s="2">
        <v>0</v>
      </c>
      <c r="V1095" s="2">
        <v>0</v>
      </c>
      <c r="W1095" s="2">
        <v>8</v>
      </c>
      <c r="X1095" s="2" t="s">
        <v>5101</v>
      </c>
      <c r="Y1095" s="2">
        <v>4</v>
      </c>
      <c r="Z1095" s="2">
        <v>4</v>
      </c>
      <c r="AA1095" s="2">
        <v>3</v>
      </c>
      <c r="AB1095" s="2">
        <v>3</v>
      </c>
      <c r="AC1095" s="2">
        <v>1</v>
      </c>
      <c r="AD1095" s="2">
        <v>2</v>
      </c>
      <c r="AE1095" s="2" t="s">
        <v>0</v>
      </c>
      <c r="AF1095" s="2">
        <v>2</v>
      </c>
      <c r="AG1095" s="2" t="s">
        <v>49</v>
      </c>
    </row>
    <row r="1096" spans="1:33" ht="89.25" x14ac:dyDescent="0.2">
      <c r="A1096" s="5" t="str">
        <f>HYPERLINK("http://www.patentics.cn/invokexml.do?sf=ShowPatent&amp;spn=US9515808&amp;sv=31a81fd7d822b9bb47700911d6561df1","US9515808")</f>
        <v>US9515808</v>
      </c>
      <c r="B1096" s="3" t="s">
        <v>5102</v>
      </c>
      <c r="C1096" s="3" t="s">
        <v>5103</v>
      </c>
      <c r="D1096" s="3" t="s">
        <v>52</v>
      </c>
      <c r="E1096" s="3" t="s">
        <v>52</v>
      </c>
      <c r="F1096" s="3" t="s">
        <v>5104</v>
      </c>
      <c r="G1096" s="3" t="s">
        <v>5105</v>
      </c>
      <c r="H1096" s="3" t="s">
        <v>385</v>
      </c>
      <c r="I1096" s="3" t="s">
        <v>4576</v>
      </c>
      <c r="J1096" s="3" t="s">
        <v>3261</v>
      </c>
      <c r="K1096" s="3" t="s">
        <v>58</v>
      </c>
      <c r="L1096" s="3" t="s">
        <v>188</v>
      </c>
      <c r="M1096" s="3" t="s">
        <v>58</v>
      </c>
      <c r="N1096" s="3" t="s">
        <v>4944</v>
      </c>
      <c r="O1096" s="3">
        <v>0</v>
      </c>
      <c r="P1096" s="3">
        <v>16</v>
      </c>
      <c r="Q1096" s="3" t="s">
        <v>60</v>
      </c>
      <c r="R1096" s="3" t="s">
        <v>61</v>
      </c>
      <c r="S1096" s="3">
        <v>31</v>
      </c>
      <c r="T1096" s="3">
        <v>3</v>
      </c>
      <c r="U1096" s="3">
        <v>28</v>
      </c>
      <c r="V1096" s="3">
        <v>12</v>
      </c>
      <c r="W1096" s="3">
        <v>0</v>
      </c>
      <c r="X1096" s="3" t="s">
        <v>147</v>
      </c>
      <c r="Y1096" s="3">
        <v>0</v>
      </c>
      <c r="Z1096" s="3">
        <v>0</v>
      </c>
      <c r="AA1096" s="3">
        <v>0</v>
      </c>
      <c r="AB1096" s="3">
        <v>0</v>
      </c>
      <c r="AC1096" s="3">
        <v>22</v>
      </c>
      <c r="AD1096" s="3">
        <v>12</v>
      </c>
      <c r="AE1096" s="3">
        <v>14</v>
      </c>
      <c r="AF1096" s="3" t="s">
        <v>0</v>
      </c>
      <c r="AG1096" s="3" t="s">
        <v>49</v>
      </c>
    </row>
    <row r="1097" spans="1:33" ht="63.75" x14ac:dyDescent="0.2">
      <c r="A1097" s="5" t="str">
        <f>HYPERLINK("http://www.patentics.cn/invokexml.do?sf=ShowPatent&amp;spn=CN103797747B&amp;sv=684912ff99f10b5125aa07aa9cef719c","CN103797747B")</f>
        <v>CN103797747B</v>
      </c>
      <c r="B1097" s="3" t="s">
        <v>5106</v>
      </c>
      <c r="C1097" s="3" t="s">
        <v>5107</v>
      </c>
      <c r="D1097" s="3" t="s">
        <v>338</v>
      </c>
      <c r="E1097" s="3" t="s">
        <v>338</v>
      </c>
      <c r="F1097" s="3" t="s">
        <v>5108</v>
      </c>
      <c r="G1097" s="3" t="s">
        <v>5109</v>
      </c>
      <c r="H1097" s="3" t="s">
        <v>385</v>
      </c>
      <c r="I1097" s="3" t="s">
        <v>5110</v>
      </c>
      <c r="J1097" s="3" t="s">
        <v>2940</v>
      </c>
      <c r="K1097" s="3" t="s">
        <v>58</v>
      </c>
      <c r="L1097" s="3" t="s">
        <v>188</v>
      </c>
      <c r="M1097" s="3" t="s">
        <v>0</v>
      </c>
      <c r="N1097" s="3" t="s">
        <v>0</v>
      </c>
      <c r="O1097" s="3">
        <v>56</v>
      </c>
      <c r="P1097" s="3">
        <v>17</v>
      </c>
      <c r="Q1097" s="3" t="s">
        <v>60</v>
      </c>
      <c r="R1097" s="3" t="s">
        <v>61</v>
      </c>
      <c r="S1097" s="3">
        <v>6</v>
      </c>
      <c r="T1097" s="3">
        <v>0</v>
      </c>
      <c r="U1097" s="3">
        <v>6</v>
      </c>
      <c r="V1097" s="3">
        <v>5</v>
      </c>
      <c r="W1097" s="3">
        <v>8</v>
      </c>
      <c r="X1097" s="3" t="s">
        <v>147</v>
      </c>
      <c r="Y1097" s="3">
        <v>0</v>
      </c>
      <c r="Z1097" s="3">
        <v>8</v>
      </c>
      <c r="AA1097" s="3">
        <v>0</v>
      </c>
      <c r="AB1097" s="3">
        <v>1</v>
      </c>
      <c r="AC1097" s="3">
        <v>22</v>
      </c>
      <c r="AD1097" s="3">
        <v>12</v>
      </c>
      <c r="AE1097" s="3">
        <v>14</v>
      </c>
      <c r="AF1097" s="3" t="s">
        <v>0</v>
      </c>
      <c r="AG1097" s="3" t="s">
        <v>49</v>
      </c>
    </row>
    <row r="1098" spans="1:33" ht="25.5" x14ac:dyDescent="0.2">
      <c r="A1098" s="4" t="str">
        <f>HYPERLINK("http://www.patentics.cn/invokexml.do?sf=ShowPatent&amp;spn=CN101902732&amp;sv=60ce41cb1e7efe6625d9163b889f56c7","CN101902732")</f>
        <v>CN101902732</v>
      </c>
      <c r="B1098" s="2" t="s">
        <v>5111</v>
      </c>
      <c r="C1098" s="2" t="s">
        <v>5112</v>
      </c>
      <c r="D1098" s="2" t="s">
        <v>38</v>
      </c>
      <c r="E1098" s="2" t="s">
        <v>38</v>
      </c>
      <c r="F1098" s="2" t="s">
        <v>5113</v>
      </c>
      <c r="G1098" s="2" t="s">
        <v>5113</v>
      </c>
      <c r="H1098" s="2" t="s">
        <v>2471</v>
      </c>
      <c r="I1098" s="2" t="s">
        <v>2471</v>
      </c>
      <c r="J1098" s="2" t="s">
        <v>2914</v>
      </c>
      <c r="K1098" s="2" t="s">
        <v>82</v>
      </c>
      <c r="L1098" s="2" t="s">
        <v>5114</v>
      </c>
      <c r="M1098" s="2" t="s">
        <v>0</v>
      </c>
      <c r="N1098" s="2" t="s">
        <v>0</v>
      </c>
      <c r="O1098" s="2">
        <v>8</v>
      </c>
      <c r="P1098" s="2">
        <v>21</v>
      </c>
      <c r="Q1098" s="2" t="s">
        <v>46</v>
      </c>
      <c r="R1098" s="2" t="s">
        <v>47</v>
      </c>
      <c r="S1098" s="2">
        <v>0</v>
      </c>
      <c r="T1098" s="2">
        <v>0</v>
      </c>
      <c r="U1098" s="2">
        <v>0</v>
      </c>
      <c r="V1098" s="2">
        <v>0</v>
      </c>
      <c r="W1098" s="2">
        <v>2</v>
      </c>
      <c r="X1098" s="2" t="s">
        <v>565</v>
      </c>
      <c r="Y1098" s="2">
        <v>0</v>
      </c>
      <c r="Z1098" s="2">
        <v>2</v>
      </c>
      <c r="AA1098" s="2">
        <v>1</v>
      </c>
      <c r="AB1098" s="2">
        <v>2</v>
      </c>
      <c r="AC1098" s="2">
        <v>1</v>
      </c>
      <c r="AD1098" s="2">
        <v>1</v>
      </c>
      <c r="AE1098" s="2" t="s">
        <v>0</v>
      </c>
      <c r="AF1098" s="2">
        <v>2</v>
      </c>
      <c r="AG1098" s="2" t="s">
        <v>49</v>
      </c>
    </row>
    <row r="1099" spans="1:33" ht="114.75" x14ac:dyDescent="0.2">
      <c r="A1099" s="5" t="str">
        <f>HYPERLINK("http://www.patentics.cn/invokexml.do?sf=ShowPatent&amp;spn=US9451641&amp;sv=3577788f9539186356230ee7827b1d7e","US9451641")</f>
        <v>US9451641</v>
      </c>
      <c r="B1099" s="3" t="s">
        <v>5115</v>
      </c>
      <c r="C1099" s="3" t="s">
        <v>5116</v>
      </c>
      <c r="D1099" s="3" t="s">
        <v>52</v>
      </c>
      <c r="E1099" s="3" t="s">
        <v>52</v>
      </c>
      <c r="F1099" s="3" t="s">
        <v>5117</v>
      </c>
      <c r="G1099" s="3" t="s">
        <v>5118</v>
      </c>
      <c r="H1099" s="3" t="s">
        <v>0</v>
      </c>
      <c r="I1099" s="3" t="s">
        <v>4192</v>
      </c>
      <c r="J1099" s="3" t="s">
        <v>848</v>
      </c>
      <c r="K1099" s="3" t="s">
        <v>82</v>
      </c>
      <c r="L1099" s="3" t="s">
        <v>2015</v>
      </c>
      <c r="M1099" s="3" t="s">
        <v>82</v>
      </c>
      <c r="N1099" s="3" t="s">
        <v>5119</v>
      </c>
      <c r="O1099" s="3">
        <v>0</v>
      </c>
      <c r="P1099" s="3">
        <v>22</v>
      </c>
      <c r="Q1099" s="3" t="s">
        <v>60</v>
      </c>
      <c r="R1099" s="3" t="s">
        <v>61</v>
      </c>
      <c r="S1099" s="3">
        <v>13</v>
      </c>
      <c r="T1099" s="3">
        <v>2</v>
      </c>
      <c r="U1099" s="3">
        <v>11</v>
      </c>
      <c r="V1099" s="3">
        <v>6</v>
      </c>
      <c r="W1099" s="3">
        <v>0</v>
      </c>
      <c r="X1099" s="3" t="s">
        <v>147</v>
      </c>
      <c r="Y1099" s="3">
        <v>0</v>
      </c>
      <c r="Z1099" s="3">
        <v>0</v>
      </c>
      <c r="AA1099" s="3">
        <v>0</v>
      </c>
      <c r="AB1099" s="3">
        <v>0</v>
      </c>
      <c r="AC1099" s="3">
        <v>0</v>
      </c>
      <c r="AD1099" s="3">
        <v>0</v>
      </c>
      <c r="AE1099" s="3">
        <v>14</v>
      </c>
      <c r="AF1099" s="3" t="s">
        <v>0</v>
      </c>
      <c r="AG1099" s="3" t="s">
        <v>49</v>
      </c>
    </row>
    <row r="1100" spans="1:33" ht="89.25" x14ac:dyDescent="0.2">
      <c r="A1100" s="5" t="str">
        <f>HYPERLINK("http://www.patentics.cn/invokexml.do?sf=ShowPatent&amp;spn=WO2013148101&amp;sv=e7ede8875580c35f8f1f16b5f8fdce54","WO2013148101")</f>
        <v>WO2013148101</v>
      </c>
      <c r="B1100" s="3" t="s">
        <v>5120</v>
      </c>
      <c r="C1100" s="3" t="s">
        <v>5116</v>
      </c>
      <c r="D1100" s="3" t="s">
        <v>52</v>
      </c>
      <c r="E1100" s="3" t="s">
        <v>52</v>
      </c>
      <c r="F1100" s="3" t="s">
        <v>5121</v>
      </c>
      <c r="G1100" s="3" t="s">
        <v>3434</v>
      </c>
      <c r="H1100" s="3" t="s">
        <v>5122</v>
      </c>
      <c r="I1100" s="3" t="s">
        <v>1081</v>
      </c>
      <c r="J1100" s="3" t="s">
        <v>5123</v>
      </c>
      <c r="K1100" s="3" t="s">
        <v>82</v>
      </c>
      <c r="L1100" s="3" t="s">
        <v>2015</v>
      </c>
      <c r="M1100" s="3" t="s">
        <v>0</v>
      </c>
      <c r="N1100" s="3" t="s">
        <v>0</v>
      </c>
      <c r="O1100" s="3">
        <v>30</v>
      </c>
      <c r="P1100" s="3">
        <v>9</v>
      </c>
      <c r="Q1100" s="3" t="s">
        <v>352</v>
      </c>
      <c r="R1100" s="3" t="s">
        <v>61</v>
      </c>
      <c r="S1100" s="3">
        <v>4</v>
      </c>
      <c r="T1100" s="3">
        <v>2</v>
      </c>
      <c r="U1100" s="3">
        <v>2</v>
      </c>
      <c r="V1100" s="3">
        <v>3</v>
      </c>
      <c r="W1100" s="3">
        <v>0</v>
      </c>
      <c r="X1100" s="3" t="s">
        <v>147</v>
      </c>
      <c r="Y1100" s="3">
        <v>0</v>
      </c>
      <c r="Z1100" s="3">
        <v>0</v>
      </c>
      <c r="AA1100" s="3">
        <v>0</v>
      </c>
      <c r="AB1100" s="3">
        <v>0</v>
      </c>
      <c r="AC1100" s="3">
        <v>5</v>
      </c>
      <c r="AD1100" s="3">
        <v>5</v>
      </c>
      <c r="AE1100" s="3">
        <v>14</v>
      </c>
      <c r="AF1100" s="3" t="s">
        <v>0</v>
      </c>
      <c r="AG1100" s="3" t="s">
        <v>0</v>
      </c>
    </row>
    <row r="1101" spans="1:33" ht="25.5" x14ac:dyDescent="0.2">
      <c r="A1101" s="4" t="str">
        <f>HYPERLINK("http://www.patentics.cn/invokexml.do?sf=ShowPatent&amp;spn=CN101877608&amp;sv=9f380756e031bf253d5e2194716c0b03","CN101877608")</f>
        <v>CN101877608</v>
      </c>
      <c r="B1101" s="2" t="s">
        <v>5124</v>
      </c>
      <c r="C1101" s="2" t="s">
        <v>5125</v>
      </c>
      <c r="D1101" s="2" t="s">
        <v>38</v>
      </c>
      <c r="E1101" s="2" t="s">
        <v>38</v>
      </c>
      <c r="F1101" s="2" t="s">
        <v>5126</v>
      </c>
      <c r="G1101" s="2" t="s">
        <v>1297</v>
      </c>
      <c r="H1101" s="2" t="s">
        <v>0</v>
      </c>
      <c r="I1101" s="2" t="s">
        <v>3175</v>
      </c>
      <c r="J1101" s="2" t="s">
        <v>3544</v>
      </c>
      <c r="K1101" s="2" t="s">
        <v>84</v>
      </c>
      <c r="L1101" s="2" t="s">
        <v>343</v>
      </c>
      <c r="M1101" s="2" t="s">
        <v>0</v>
      </c>
      <c r="N1101" s="2" t="s">
        <v>0</v>
      </c>
      <c r="O1101" s="2">
        <v>12</v>
      </c>
      <c r="P1101" s="2">
        <v>20</v>
      </c>
      <c r="Q1101" s="2" t="s">
        <v>46</v>
      </c>
      <c r="R1101" s="2" t="s">
        <v>47</v>
      </c>
      <c r="S1101" s="2">
        <v>0</v>
      </c>
      <c r="T1101" s="2">
        <v>0</v>
      </c>
      <c r="U1101" s="2">
        <v>0</v>
      </c>
      <c r="V1101" s="2">
        <v>0</v>
      </c>
      <c r="W1101" s="2">
        <v>20</v>
      </c>
      <c r="X1101" s="2" t="s">
        <v>5127</v>
      </c>
      <c r="Y1101" s="2">
        <v>1</v>
      </c>
      <c r="Z1101" s="2">
        <v>19</v>
      </c>
      <c r="AA1101" s="2">
        <v>12</v>
      </c>
      <c r="AB1101" s="2">
        <v>4</v>
      </c>
      <c r="AC1101" s="2">
        <v>0</v>
      </c>
      <c r="AD1101" s="2">
        <v>0</v>
      </c>
      <c r="AE1101" s="2" t="s">
        <v>0</v>
      </c>
      <c r="AF1101" s="2">
        <v>2</v>
      </c>
      <c r="AG1101" s="2" t="s">
        <v>49</v>
      </c>
    </row>
    <row r="1102" spans="1:33" ht="25.5" x14ac:dyDescent="0.2">
      <c r="A1102" s="5" t="str">
        <f>HYPERLINK("http://www.patentics.cn/invokexml.do?sf=ShowPatent&amp;spn=US9497002&amp;sv=c4568d8ce9d2f5592460fb5b64edd3ad","US9497002")</f>
        <v>US9497002</v>
      </c>
      <c r="B1102" s="3" t="s">
        <v>2570</v>
      </c>
      <c r="C1102" s="3" t="s">
        <v>2571</v>
      </c>
      <c r="D1102" s="3" t="s">
        <v>52</v>
      </c>
      <c r="E1102" s="3" t="s">
        <v>52</v>
      </c>
      <c r="F1102" s="3" t="s">
        <v>2572</v>
      </c>
      <c r="G1102" s="3" t="s">
        <v>2572</v>
      </c>
      <c r="H1102" s="3" t="s">
        <v>2126</v>
      </c>
      <c r="I1102" s="3" t="s">
        <v>2573</v>
      </c>
      <c r="J1102" s="3" t="s">
        <v>1677</v>
      </c>
      <c r="K1102" s="3" t="s">
        <v>84</v>
      </c>
      <c r="L1102" s="3" t="s">
        <v>135</v>
      </c>
      <c r="M1102" s="3" t="s">
        <v>58</v>
      </c>
      <c r="N1102" s="3" t="s">
        <v>335</v>
      </c>
      <c r="O1102" s="3">
        <v>0</v>
      </c>
      <c r="P1102" s="3">
        <v>13</v>
      </c>
      <c r="Q1102" s="3" t="s">
        <v>60</v>
      </c>
      <c r="R1102" s="3" t="s">
        <v>47</v>
      </c>
      <c r="S1102" s="3">
        <v>14</v>
      </c>
      <c r="T1102" s="3">
        <v>0</v>
      </c>
      <c r="U1102" s="3">
        <v>14</v>
      </c>
      <c r="V1102" s="3">
        <v>9</v>
      </c>
      <c r="W1102" s="3">
        <v>0</v>
      </c>
      <c r="X1102" s="3" t="s">
        <v>147</v>
      </c>
      <c r="Y1102" s="3">
        <v>0</v>
      </c>
      <c r="Z1102" s="3">
        <v>0</v>
      </c>
      <c r="AA1102" s="3">
        <v>0</v>
      </c>
      <c r="AB1102" s="3">
        <v>0</v>
      </c>
      <c r="AC1102" s="3">
        <v>7</v>
      </c>
      <c r="AD1102" s="3">
        <v>6</v>
      </c>
      <c r="AE1102" s="3">
        <v>14</v>
      </c>
      <c r="AF1102" s="3" t="s">
        <v>0</v>
      </c>
      <c r="AG1102" s="3" t="s">
        <v>49</v>
      </c>
    </row>
    <row r="1103" spans="1:33" ht="25.5" x14ac:dyDescent="0.2">
      <c r="A1103" s="5" t="str">
        <f>HYPERLINK("http://www.patentics.cn/invokexml.do?sf=ShowPatent&amp;spn=WO2014117748&amp;sv=e5950642aae4b46e43db9665fb882376","WO2014117748")</f>
        <v>WO2014117748</v>
      </c>
      <c r="B1103" s="3" t="s">
        <v>5128</v>
      </c>
      <c r="C1103" s="3" t="s">
        <v>2575</v>
      </c>
      <c r="D1103" s="3" t="s">
        <v>5129</v>
      </c>
      <c r="E1103" s="3" t="s">
        <v>5130</v>
      </c>
      <c r="F1103" s="3" t="s">
        <v>2579</v>
      </c>
      <c r="G1103" s="3" t="s">
        <v>2579</v>
      </c>
      <c r="H1103" s="3" t="s">
        <v>2126</v>
      </c>
      <c r="I1103" s="3" t="s">
        <v>2573</v>
      </c>
      <c r="J1103" s="3" t="s">
        <v>2580</v>
      </c>
      <c r="K1103" s="3" t="s">
        <v>84</v>
      </c>
      <c r="L1103" s="3" t="s">
        <v>135</v>
      </c>
      <c r="M1103" s="3" t="s">
        <v>0</v>
      </c>
      <c r="N1103" s="3" t="s">
        <v>0</v>
      </c>
      <c r="O1103" s="3">
        <v>30</v>
      </c>
      <c r="P1103" s="3">
        <v>12</v>
      </c>
      <c r="Q1103" s="3" t="s">
        <v>352</v>
      </c>
      <c r="R1103" s="3" t="s">
        <v>47</v>
      </c>
      <c r="S1103" s="3">
        <v>3</v>
      </c>
      <c r="T1103" s="3">
        <v>0</v>
      </c>
      <c r="U1103" s="3">
        <v>3</v>
      </c>
      <c r="V1103" s="3">
        <v>2</v>
      </c>
      <c r="W1103" s="3">
        <v>8</v>
      </c>
      <c r="X1103" s="3" t="s">
        <v>147</v>
      </c>
      <c r="Y1103" s="3">
        <v>0</v>
      </c>
      <c r="Z1103" s="3">
        <v>8</v>
      </c>
      <c r="AA1103" s="3">
        <v>0</v>
      </c>
      <c r="AB1103" s="3">
        <v>1</v>
      </c>
      <c r="AC1103" s="3">
        <v>7</v>
      </c>
      <c r="AD1103" s="3">
        <v>6</v>
      </c>
      <c r="AE1103" s="3">
        <v>14</v>
      </c>
      <c r="AF1103" s="3" t="s">
        <v>0</v>
      </c>
      <c r="AG1103" s="3" t="s">
        <v>0</v>
      </c>
    </row>
    <row r="1104" spans="1:33" ht="25.5" x14ac:dyDescent="0.2">
      <c r="A1104" s="4" t="str">
        <f>HYPERLINK("http://www.patentics.cn/invokexml.do?sf=ShowPatent&amp;spn=CN101867966&amp;sv=3b42ddfe8936a61a0770ce7ab608637e","CN101867966")</f>
        <v>CN101867966</v>
      </c>
      <c r="B1104" s="2" t="s">
        <v>5131</v>
      </c>
      <c r="C1104" s="2" t="s">
        <v>5132</v>
      </c>
      <c r="D1104" s="2" t="s">
        <v>38</v>
      </c>
      <c r="E1104" s="2" t="s">
        <v>38</v>
      </c>
      <c r="F1104" s="2" t="s">
        <v>5133</v>
      </c>
      <c r="G1104" s="2" t="s">
        <v>5134</v>
      </c>
      <c r="H1104" s="2" t="s">
        <v>0</v>
      </c>
      <c r="I1104" s="2" t="s">
        <v>5135</v>
      </c>
      <c r="J1104" s="2" t="s">
        <v>726</v>
      </c>
      <c r="K1104" s="2" t="s">
        <v>82</v>
      </c>
      <c r="L1104" s="2" t="s">
        <v>2215</v>
      </c>
      <c r="M1104" s="2" t="s">
        <v>0</v>
      </c>
      <c r="N1104" s="2" t="s">
        <v>0</v>
      </c>
      <c r="O1104" s="2">
        <v>13</v>
      </c>
      <c r="P1104" s="2">
        <v>10</v>
      </c>
      <c r="Q1104" s="2" t="s">
        <v>46</v>
      </c>
      <c r="R1104" s="2" t="s">
        <v>47</v>
      </c>
      <c r="S1104" s="2">
        <v>0</v>
      </c>
      <c r="T1104" s="2">
        <v>0</v>
      </c>
      <c r="U1104" s="2">
        <v>0</v>
      </c>
      <c r="V1104" s="2">
        <v>0</v>
      </c>
      <c r="W1104" s="2">
        <v>6</v>
      </c>
      <c r="X1104" s="2" t="s">
        <v>5136</v>
      </c>
      <c r="Y1104" s="2">
        <v>2</v>
      </c>
      <c r="Z1104" s="2">
        <v>4</v>
      </c>
      <c r="AA1104" s="2">
        <v>3</v>
      </c>
      <c r="AB1104" s="2">
        <v>3</v>
      </c>
      <c r="AC1104" s="2">
        <v>0</v>
      </c>
      <c r="AD1104" s="2">
        <v>0</v>
      </c>
      <c r="AE1104" s="2" t="s">
        <v>0</v>
      </c>
      <c r="AF1104" s="2">
        <v>2</v>
      </c>
      <c r="AG1104" s="2" t="s">
        <v>2523</v>
      </c>
    </row>
    <row r="1105" spans="1:33" ht="165.75" x14ac:dyDescent="0.2">
      <c r="A1105" s="5" t="str">
        <f>HYPERLINK("http://www.patentics.cn/invokexml.do?sf=ShowPatent&amp;spn=WO2014107881&amp;sv=8ecb88b698b3aac1a5824236dddd9ce6","WO2014107881")</f>
        <v>WO2014107881</v>
      </c>
      <c r="B1105" s="3" t="s">
        <v>5001</v>
      </c>
      <c r="C1105" s="3" t="s">
        <v>5002</v>
      </c>
      <c r="D1105" s="3" t="s">
        <v>5003</v>
      </c>
      <c r="E1105" s="3" t="s">
        <v>5004</v>
      </c>
      <c r="F1105" s="3" t="s">
        <v>5005</v>
      </c>
      <c r="G1105" s="3" t="s">
        <v>5006</v>
      </c>
      <c r="H1105" s="3" t="s">
        <v>5007</v>
      </c>
      <c r="I1105" s="3" t="s">
        <v>5007</v>
      </c>
      <c r="J1105" s="3" t="s">
        <v>4993</v>
      </c>
      <c r="K1105" s="3" t="s">
        <v>82</v>
      </c>
      <c r="L1105" s="3" t="s">
        <v>911</v>
      </c>
      <c r="M1105" s="3" t="s">
        <v>0</v>
      </c>
      <c r="N1105" s="3" t="s">
        <v>0</v>
      </c>
      <c r="O1105" s="3">
        <v>13</v>
      </c>
      <c r="P1105" s="3">
        <v>12</v>
      </c>
      <c r="Q1105" s="3" t="s">
        <v>352</v>
      </c>
      <c r="R1105" s="3" t="s">
        <v>47</v>
      </c>
      <c r="S1105" s="3">
        <v>5</v>
      </c>
      <c r="T1105" s="3">
        <v>0</v>
      </c>
      <c r="U1105" s="3">
        <v>5</v>
      </c>
      <c r="V1105" s="3">
        <v>3</v>
      </c>
      <c r="W1105" s="3">
        <v>0</v>
      </c>
      <c r="X1105" s="3" t="s">
        <v>147</v>
      </c>
      <c r="Y1105" s="3">
        <v>0</v>
      </c>
      <c r="Z1105" s="3">
        <v>0</v>
      </c>
      <c r="AA1105" s="3">
        <v>0</v>
      </c>
      <c r="AB1105" s="3">
        <v>0</v>
      </c>
      <c r="AC1105" s="3">
        <v>4</v>
      </c>
      <c r="AD1105" s="3">
        <v>4</v>
      </c>
      <c r="AE1105" s="3">
        <v>14</v>
      </c>
      <c r="AF1105" s="3" t="s">
        <v>0</v>
      </c>
      <c r="AG1105" s="3" t="s">
        <v>0</v>
      </c>
    </row>
    <row r="1106" spans="1:33" ht="165.75" x14ac:dyDescent="0.2">
      <c r="A1106" s="5" t="str">
        <f>HYPERLINK("http://www.patentics.cn/invokexml.do?sf=ShowPatent&amp;spn=WO2014107975&amp;sv=411701c0ace8773d8cd524b49f783c3c","WO2014107975")</f>
        <v>WO2014107975</v>
      </c>
      <c r="B1106" s="3" t="s">
        <v>5008</v>
      </c>
      <c r="C1106" s="3" t="s">
        <v>5002</v>
      </c>
      <c r="D1106" s="3" t="s">
        <v>5009</v>
      </c>
      <c r="E1106" s="3" t="s">
        <v>5010</v>
      </c>
      <c r="F1106" s="3" t="s">
        <v>5011</v>
      </c>
      <c r="G1106" s="3" t="s">
        <v>5006</v>
      </c>
      <c r="H1106" s="3" t="s">
        <v>5007</v>
      </c>
      <c r="I1106" s="3" t="s">
        <v>5012</v>
      </c>
      <c r="J1106" s="3" t="s">
        <v>4993</v>
      </c>
      <c r="K1106" s="3" t="s">
        <v>82</v>
      </c>
      <c r="L1106" s="3" t="s">
        <v>911</v>
      </c>
      <c r="M1106" s="3" t="s">
        <v>0</v>
      </c>
      <c r="N1106" s="3" t="s">
        <v>0</v>
      </c>
      <c r="O1106" s="3">
        <v>24</v>
      </c>
      <c r="P1106" s="3">
        <v>12</v>
      </c>
      <c r="Q1106" s="3" t="s">
        <v>352</v>
      </c>
      <c r="R1106" s="3" t="s">
        <v>47</v>
      </c>
      <c r="S1106" s="3">
        <v>4</v>
      </c>
      <c r="T1106" s="3">
        <v>0</v>
      </c>
      <c r="U1106" s="3">
        <v>4</v>
      </c>
      <c r="V1106" s="3">
        <v>2</v>
      </c>
      <c r="W1106" s="3">
        <v>0</v>
      </c>
      <c r="X1106" s="3" t="s">
        <v>147</v>
      </c>
      <c r="Y1106" s="3">
        <v>0</v>
      </c>
      <c r="Z1106" s="3">
        <v>0</v>
      </c>
      <c r="AA1106" s="3">
        <v>0</v>
      </c>
      <c r="AB1106" s="3">
        <v>0</v>
      </c>
      <c r="AC1106" s="3">
        <v>4</v>
      </c>
      <c r="AD1106" s="3">
        <v>4</v>
      </c>
      <c r="AE1106" s="3">
        <v>14</v>
      </c>
      <c r="AF1106" s="3" t="s">
        <v>0</v>
      </c>
      <c r="AG1106" s="3" t="s">
        <v>0</v>
      </c>
    </row>
    <row r="1107" spans="1:33" ht="38.25" x14ac:dyDescent="0.2">
      <c r="A1107" s="4" t="str">
        <f>HYPERLINK("http://www.patentics.cn/invokexml.do?sf=ShowPatent&amp;spn=CN101826951&amp;sv=77ecc15c7d1af9ac5cdbfffb337d5c4a","CN101826951")</f>
        <v>CN101826951</v>
      </c>
      <c r="B1107" s="2" t="s">
        <v>5137</v>
      </c>
      <c r="C1107" s="2" t="s">
        <v>5138</v>
      </c>
      <c r="D1107" s="2" t="s">
        <v>38</v>
      </c>
      <c r="E1107" s="2" t="s">
        <v>38</v>
      </c>
      <c r="F1107" s="2" t="s">
        <v>5139</v>
      </c>
      <c r="G1107" s="2" t="s">
        <v>5140</v>
      </c>
      <c r="H1107" s="2" t="s">
        <v>2658</v>
      </c>
      <c r="I1107" s="2" t="s">
        <v>2658</v>
      </c>
      <c r="J1107" s="2" t="s">
        <v>1183</v>
      </c>
      <c r="K1107" s="2" t="s">
        <v>58</v>
      </c>
      <c r="L1107" s="2" t="s">
        <v>2734</v>
      </c>
      <c r="M1107" s="2" t="s">
        <v>0</v>
      </c>
      <c r="N1107" s="2" t="s">
        <v>0</v>
      </c>
      <c r="O1107" s="2">
        <v>19</v>
      </c>
      <c r="P1107" s="2">
        <v>19</v>
      </c>
      <c r="Q1107" s="2" t="s">
        <v>46</v>
      </c>
      <c r="R1107" s="2" t="s">
        <v>47</v>
      </c>
      <c r="S1107" s="2">
        <v>1</v>
      </c>
      <c r="T1107" s="2">
        <v>1</v>
      </c>
      <c r="U1107" s="2">
        <v>0</v>
      </c>
      <c r="V1107" s="2">
        <v>1</v>
      </c>
      <c r="W1107" s="2">
        <v>14</v>
      </c>
      <c r="X1107" s="2" t="s">
        <v>5141</v>
      </c>
      <c r="Y1107" s="2">
        <v>9</v>
      </c>
      <c r="Z1107" s="2">
        <v>5</v>
      </c>
      <c r="AA1107" s="2">
        <v>5</v>
      </c>
      <c r="AB1107" s="2">
        <v>4</v>
      </c>
      <c r="AC1107" s="2">
        <v>1</v>
      </c>
      <c r="AD1107" s="2">
        <v>2</v>
      </c>
      <c r="AE1107" s="2" t="s">
        <v>0</v>
      </c>
      <c r="AF1107" s="2">
        <v>2</v>
      </c>
      <c r="AG1107" s="2" t="s">
        <v>49</v>
      </c>
    </row>
    <row r="1108" spans="1:33" ht="51" x14ac:dyDescent="0.2">
      <c r="A1108" s="5" t="str">
        <f>HYPERLINK("http://www.patentics.cn/invokexml.do?sf=ShowPatent&amp;spn=WO2014198037&amp;sv=acc498992080f04a234a27603668306e","WO2014198037")</f>
        <v>WO2014198037</v>
      </c>
      <c r="B1108" s="3" t="s">
        <v>5142</v>
      </c>
      <c r="C1108" s="3" t="s">
        <v>5143</v>
      </c>
      <c r="D1108" s="3" t="s">
        <v>5144</v>
      </c>
      <c r="E1108" s="3" t="s">
        <v>5145</v>
      </c>
      <c r="F1108" s="3" t="s">
        <v>5146</v>
      </c>
      <c r="G1108" s="3" t="s">
        <v>5147</v>
      </c>
      <c r="H1108" s="3" t="s">
        <v>1886</v>
      </c>
      <c r="I1108" s="3" t="s">
        <v>1886</v>
      </c>
      <c r="J1108" s="3" t="s">
        <v>3586</v>
      </c>
      <c r="K1108" s="3" t="s">
        <v>82</v>
      </c>
      <c r="L1108" s="3" t="s">
        <v>2805</v>
      </c>
      <c r="M1108" s="3" t="s">
        <v>0</v>
      </c>
      <c r="N1108" s="3" t="s">
        <v>0</v>
      </c>
      <c r="O1108" s="3">
        <v>20</v>
      </c>
      <c r="P1108" s="3">
        <v>9</v>
      </c>
      <c r="Q1108" s="3" t="s">
        <v>352</v>
      </c>
      <c r="R1108" s="3" t="s">
        <v>47</v>
      </c>
      <c r="S1108" s="3">
        <v>3</v>
      </c>
      <c r="T1108" s="3">
        <v>0</v>
      </c>
      <c r="U1108" s="3">
        <v>3</v>
      </c>
      <c r="V1108" s="3">
        <v>3</v>
      </c>
      <c r="W1108" s="3">
        <v>0</v>
      </c>
      <c r="X1108" s="3" t="s">
        <v>147</v>
      </c>
      <c r="Y1108" s="3">
        <v>0</v>
      </c>
      <c r="Z1108" s="3">
        <v>0</v>
      </c>
      <c r="AA1108" s="3">
        <v>0</v>
      </c>
      <c r="AB1108" s="3">
        <v>0</v>
      </c>
      <c r="AC1108" s="3">
        <v>2</v>
      </c>
      <c r="AD1108" s="3">
        <v>2</v>
      </c>
      <c r="AE1108" s="3">
        <v>14</v>
      </c>
      <c r="AF1108" s="3" t="s">
        <v>0</v>
      </c>
      <c r="AG1108" s="3" t="s">
        <v>0</v>
      </c>
    </row>
    <row r="1109" spans="1:33" ht="51" x14ac:dyDescent="0.2">
      <c r="A1109" s="5" t="str">
        <f>HYPERLINK("http://www.patentics.cn/invokexml.do?sf=ShowPatent&amp;spn=WO2014198226&amp;sv=9da5213d563bf3b169690f5b7c22e16b","WO2014198226")</f>
        <v>WO2014198226</v>
      </c>
      <c r="B1109" s="3" t="s">
        <v>5148</v>
      </c>
      <c r="C1109" s="3" t="s">
        <v>5149</v>
      </c>
      <c r="D1109" s="3" t="s">
        <v>5144</v>
      </c>
      <c r="E1109" s="3" t="s">
        <v>5145</v>
      </c>
      <c r="F1109" s="3" t="s">
        <v>5146</v>
      </c>
      <c r="G1109" s="3" t="s">
        <v>5147</v>
      </c>
      <c r="H1109" s="3" t="s">
        <v>1886</v>
      </c>
      <c r="I1109" s="3" t="s">
        <v>3585</v>
      </c>
      <c r="J1109" s="3" t="s">
        <v>3586</v>
      </c>
      <c r="K1109" s="3" t="s">
        <v>82</v>
      </c>
      <c r="L1109" s="3" t="s">
        <v>2805</v>
      </c>
      <c r="M1109" s="3" t="s">
        <v>0</v>
      </c>
      <c r="N1109" s="3" t="s">
        <v>0</v>
      </c>
      <c r="O1109" s="3">
        <v>30</v>
      </c>
      <c r="P1109" s="3">
        <v>14</v>
      </c>
      <c r="Q1109" s="3" t="s">
        <v>352</v>
      </c>
      <c r="R1109" s="3" t="s">
        <v>47</v>
      </c>
      <c r="S1109" s="3">
        <v>4</v>
      </c>
      <c r="T1109" s="3">
        <v>0</v>
      </c>
      <c r="U1109" s="3">
        <v>4</v>
      </c>
      <c r="V1109" s="3">
        <v>4</v>
      </c>
      <c r="W1109" s="3">
        <v>0</v>
      </c>
      <c r="X1109" s="3" t="s">
        <v>147</v>
      </c>
      <c r="Y1109" s="3">
        <v>0</v>
      </c>
      <c r="Z1109" s="3">
        <v>0</v>
      </c>
      <c r="AA1109" s="3">
        <v>0</v>
      </c>
      <c r="AB1109" s="3">
        <v>0</v>
      </c>
      <c r="AC1109" s="3">
        <v>2</v>
      </c>
      <c r="AD1109" s="3">
        <v>2</v>
      </c>
      <c r="AE1109" s="3">
        <v>14</v>
      </c>
      <c r="AF1109" s="3" t="s">
        <v>0</v>
      </c>
      <c r="AG1109" s="3" t="s">
        <v>0</v>
      </c>
    </row>
    <row r="1110" spans="1:33" ht="38.25" x14ac:dyDescent="0.2">
      <c r="A1110" s="4" t="str">
        <f>HYPERLINK("http://www.patentics.cn/invokexml.do?sf=ShowPatent&amp;spn=CN101772179&amp;sv=ca4f65c3daf47b5b8f2aeae4f4670053","CN101772179")</f>
        <v>CN101772179</v>
      </c>
      <c r="B1110" s="2" t="s">
        <v>5150</v>
      </c>
      <c r="C1110" s="2" t="s">
        <v>5151</v>
      </c>
      <c r="D1110" s="2" t="s">
        <v>38</v>
      </c>
      <c r="E1110" s="2" t="s">
        <v>38</v>
      </c>
      <c r="F1110" s="2" t="s">
        <v>5152</v>
      </c>
      <c r="G1110" s="2" t="s">
        <v>2814</v>
      </c>
      <c r="H1110" s="2" t="s">
        <v>3174</v>
      </c>
      <c r="I1110" s="2" t="s">
        <v>3174</v>
      </c>
      <c r="J1110" s="2" t="s">
        <v>5153</v>
      </c>
      <c r="K1110" s="2" t="s">
        <v>82</v>
      </c>
      <c r="L1110" s="2" t="s">
        <v>997</v>
      </c>
      <c r="M1110" s="2" t="s">
        <v>0</v>
      </c>
      <c r="N1110" s="2" t="s">
        <v>0</v>
      </c>
      <c r="O1110" s="2">
        <v>13</v>
      </c>
      <c r="P1110" s="2">
        <v>17</v>
      </c>
      <c r="Q1110" s="2" t="s">
        <v>46</v>
      </c>
      <c r="R1110" s="2" t="s">
        <v>47</v>
      </c>
      <c r="S1110" s="2">
        <v>0</v>
      </c>
      <c r="T1110" s="2">
        <v>0</v>
      </c>
      <c r="U1110" s="2">
        <v>0</v>
      </c>
      <c r="V1110" s="2">
        <v>0</v>
      </c>
      <c r="W1110" s="2">
        <v>20</v>
      </c>
      <c r="X1110" s="2" t="s">
        <v>5154</v>
      </c>
      <c r="Y1110" s="2">
        <v>2</v>
      </c>
      <c r="Z1110" s="2">
        <v>18</v>
      </c>
      <c r="AA1110" s="2">
        <v>7</v>
      </c>
      <c r="AB1110" s="2">
        <v>3</v>
      </c>
      <c r="AC1110" s="2">
        <v>1</v>
      </c>
      <c r="AD1110" s="2">
        <v>2</v>
      </c>
      <c r="AE1110" s="2" t="s">
        <v>0</v>
      </c>
      <c r="AF1110" s="2">
        <v>2</v>
      </c>
      <c r="AG1110" s="2" t="s">
        <v>2231</v>
      </c>
    </row>
    <row r="1111" spans="1:33" ht="89.25" x14ac:dyDescent="0.2">
      <c r="A1111" s="5" t="str">
        <f>HYPERLINK("http://www.patentics.cn/invokexml.do?sf=ShowPatent&amp;spn=US9515808&amp;sv=31a81fd7d822b9bb47700911d6561df1","US9515808")</f>
        <v>US9515808</v>
      </c>
      <c r="B1111" s="3" t="s">
        <v>5102</v>
      </c>
      <c r="C1111" s="3" t="s">
        <v>5103</v>
      </c>
      <c r="D1111" s="3" t="s">
        <v>52</v>
      </c>
      <c r="E1111" s="3" t="s">
        <v>52</v>
      </c>
      <c r="F1111" s="3" t="s">
        <v>5104</v>
      </c>
      <c r="G1111" s="3" t="s">
        <v>5105</v>
      </c>
      <c r="H1111" s="3" t="s">
        <v>385</v>
      </c>
      <c r="I1111" s="3" t="s">
        <v>4576</v>
      </c>
      <c r="J1111" s="3" t="s">
        <v>3261</v>
      </c>
      <c r="K1111" s="3" t="s">
        <v>58</v>
      </c>
      <c r="L1111" s="3" t="s">
        <v>188</v>
      </c>
      <c r="M1111" s="3" t="s">
        <v>58</v>
      </c>
      <c r="N1111" s="3" t="s">
        <v>4944</v>
      </c>
      <c r="O1111" s="3">
        <v>0</v>
      </c>
      <c r="P1111" s="3">
        <v>16</v>
      </c>
      <c r="Q1111" s="3" t="s">
        <v>60</v>
      </c>
      <c r="R1111" s="3" t="s">
        <v>61</v>
      </c>
      <c r="S1111" s="3">
        <v>31</v>
      </c>
      <c r="T1111" s="3">
        <v>3</v>
      </c>
      <c r="U1111" s="3">
        <v>28</v>
      </c>
      <c r="V1111" s="3">
        <v>12</v>
      </c>
      <c r="W1111" s="3">
        <v>0</v>
      </c>
      <c r="X1111" s="3" t="s">
        <v>147</v>
      </c>
      <c r="Y1111" s="3">
        <v>0</v>
      </c>
      <c r="Z1111" s="3">
        <v>0</v>
      </c>
      <c r="AA1111" s="3">
        <v>0</v>
      </c>
      <c r="AB1111" s="3">
        <v>0</v>
      </c>
      <c r="AC1111" s="3">
        <v>22</v>
      </c>
      <c r="AD1111" s="3">
        <v>12</v>
      </c>
      <c r="AE1111" s="3">
        <v>14</v>
      </c>
      <c r="AF1111" s="3" t="s">
        <v>0</v>
      </c>
      <c r="AG1111" s="3" t="s">
        <v>49</v>
      </c>
    </row>
    <row r="1112" spans="1:33" ht="63.75" x14ac:dyDescent="0.2">
      <c r="A1112" s="5" t="str">
        <f>HYPERLINK("http://www.patentics.cn/invokexml.do?sf=ShowPatent&amp;spn=CN103797747B&amp;sv=684912ff99f10b5125aa07aa9cef719c","CN103797747B")</f>
        <v>CN103797747B</v>
      </c>
      <c r="B1112" s="3" t="s">
        <v>5106</v>
      </c>
      <c r="C1112" s="3" t="s">
        <v>5107</v>
      </c>
      <c r="D1112" s="3" t="s">
        <v>338</v>
      </c>
      <c r="E1112" s="3" t="s">
        <v>338</v>
      </c>
      <c r="F1112" s="3" t="s">
        <v>5108</v>
      </c>
      <c r="G1112" s="3" t="s">
        <v>5109</v>
      </c>
      <c r="H1112" s="3" t="s">
        <v>385</v>
      </c>
      <c r="I1112" s="3" t="s">
        <v>5110</v>
      </c>
      <c r="J1112" s="3" t="s">
        <v>2940</v>
      </c>
      <c r="K1112" s="3" t="s">
        <v>58</v>
      </c>
      <c r="L1112" s="3" t="s">
        <v>188</v>
      </c>
      <c r="M1112" s="3" t="s">
        <v>0</v>
      </c>
      <c r="N1112" s="3" t="s">
        <v>0</v>
      </c>
      <c r="O1112" s="3">
        <v>56</v>
      </c>
      <c r="P1112" s="3">
        <v>17</v>
      </c>
      <c r="Q1112" s="3" t="s">
        <v>60</v>
      </c>
      <c r="R1112" s="3" t="s">
        <v>61</v>
      </c>
      <c r="S1112" s="3">
        <v>6</v>
      </c>
      <c r="T1112" s="3">
        <v>0</v>
      </c>
      <c r="U1112" s="3">
        <v>6</v>
      </c>
      <c r="V1112" s="3">
        <v>5</v>
      </c>
      <c r="W1112" s="3">
        <v>8</v>
      </c>
      <c r="X1112" s="3" t="s">
        <v>147</v>
      </c>
      <c r="Y1112" s="3">
        <v>0</v>
      </c>
      <c r="Z1112" s="3">
        <v>8</v>
      </c>
      <c r="AA1112" s="3">
        <v>0</v>
      </c>
      <c r="AB1112" s="3">
        <v>1</v>
      </c>
      <c r="AC1112" s="3">
        <v>22</v>
      </c>
      <c r="AD1112" s="3">
        <v>12</v>
      </c>
      <c r="AE1112" s="3">
        <v>14</v>
      </c>
      <c r="AF1112" s="3" t="s">
        <v>0</v>
      </c>
      <c r="AG1112" s="3" t="s">
        <v>49</v>
      </c>
    </row>
    <row r="1113" spans="1:33" ht="25.5" x14ac:dyDescent="0.2">
      <c r="A1113" s="4" t="str">
        <f>HYPERLINK("http://www.patentics.cn/invokexml.do?sf=ShowPatent&amp;spn=CN101729328&amp;sv=e66d654d9b2d31a274286d35c9551507","CN101729328")</f>
        <v>CN101729328</v>
      </c>
      <c r="B1113" s="2" t="s">
        <v>5155</v>
      </c>
      <c r="C1113" s="2" t="s">
        <v>5156</v>
      </c>
      <c r="D1113" s="2" t="s">
        <v>38</v>
      </c>
      <c r="E1113" s="2" t="s">
        <v>38</v>
      </c>
      <c r="F1113" s="2" t="s">
        <v>5157</v>
      </c>
      <c r="G1113" s="2" t="s">
        <v>5158</v>
      </c>
      <c r="H1113" s="2" t="s">
        <v>5159</v>
      </c>
      <c r="I1113" s="2" t="s">
        <v>5159</v>
      </c>
      <c r="J1113" s="2" t="s">
        <v>543</v>
      </c>
      <c r="K1113" s="2" t="s">
        <v>58</v>
      </c>
      <c r="L1113" s="2" t="s">
        <v>289</v>
      </c>
      <c r="M1113" s="2" t="s">
        <v>0</v>
      </c>
      <c r="N1113" s="2" t="s">
        <v>0</v>
      </c>
      <c r="O1113" s="2">
        <v>9</v>
      </c>
      <c r="P1113" s="2">
        <v>17</v>
      </c>
      <c r="Q1113" s="2" t="s">
        <v>46</v>
      </c>
      <c r="R1113" s="2" t="s">
        <v>47</v>
      </c>
      <c r="S1113" s="2">
        <v>0</v>
      </c>
      <c r="T1113" s="2">
        <v>0</v>
      </c>
      <c r="U1113" s="2">
        <v>0</v>
      </c>
      <c r="V1113" s="2">
        <v>0</v>
      </c>
      <c r="W1113" s="2">
        <v>4</v>
      </c>
      <c r="X1113" s="2" t="s">
        <v>5160</v>
      </c>
      <c r="Y1113" s="2">
        <v>1</v>
      </c>
      <c r="Z1113" s="2">
        <v>3</v>
      </c>
      <c r="AA1113" s="2">
        <v>3</v>
      </c>
      <c r="AB1113" s="2">
        <v>2</v>
      </c>
      <c r="AC1113" s="2">
        <v>1</v>
      </c>
      <c r="AD1113" s="2">
        <v>1</v>
      </c>
      <c r="AE1113" s="2" t="s">
        <v>0</v>
      </c>
      <c r="AF1113" s="2">
        <v>2</v>
      </c>
      <c r="AG1113" s="2" t="s">
        <v>49</v>
      </c>
    </row>
    <row r="1114" spans="1:33" ht="76.5" x14ac:dyDescent="0.2">
      <c r="A1114" s="5" t="str">
        <f>HYPERLINK("http://www.patentics.cn/invokexml.do?sf=ShowPatent&amp;spn=US9344512&amp;sv=f27557bcc471155562f4f2ca02a7fb67","US9344512")</f>
        <v>US9344512</v>
      </c>
      <c r="B1114" s="3" t="s">
        <v>5161</v>
      </c>
      <c r="C1114" s="3" t="s">
        <v>5162</v>
      </c>
      <c r="D1114" s="3" t="s">
        <v>52</v>
      </c>
      <c r="E1114" s="3" t="s">
        <v>52</v>
      </c>
      <c r="F1114" s="3" t="s">
        <v>5163</v>
      </c>
      <c r="G1114" s="3" t="s">
        <v>5164</v>
      </c>
      <c r="H1114" s="3" t="s">
        <v>4920</v>
      </c>
      <c r="I1114" s="3" t="s">
        <v>5165</v>
      </c>
      <c r="J1114" s="3" t="s">
        <v>1625</v>
      </c>
      <c r="K1114" s="3" t="s">
        <v>555</v>
      </c>
      <c r="L1114" s="3" t="s">
        <v>556</v>
      </c>
      <c r="M1114" s="3" t="s">
        <v>58</v>
      </c>
      <c r="N1114" s="3" t="s">
        <v>5166</v>
      </c>
      <c r="O1114" s="3">
        <v>0</v>
      </c>
      <c r="P1114" s="3">
        <v>18</v>
      </c>
      <c r="Q1114" s="3" t="s">
        <v>60</v>
      </c>
      <c r="R1114" s="3" t="s">
        <v>61</v>
      </c>
      <c r="S1114" s="3">
        <v>28</v>
      </c>
      <c r="T1114" s="3">
        <v>2</v>
      </c>
      <c r="U1114" s="3">
        <v>26</v>
      </c>
      <c r="V1114" s="3">
        <v>17</v>
      </c>
      <c r="W1114" s="3">
        <v>0</v>
      </c>
      <c r="X1114" s="3" t="s">
        <v>147</v>
      </c>
      <c r="Y1114" s="3">
        <v>0</v>
      </c>
      <c r="Z1114" s="3">
        <v>0</v>
      </c>
      <c r="AA1114" s="3">
        <v>0</v>
      </c>
      <c r="AB1114" s="3">
        <v>0</v>
      </c>
      <c r="AC1114" s="3">
        <v>17</v>
      </c>
      <c r="AD1114" s="3">
        <v>8</v>
      </c>
      <c r="AE1114" s="3">
        <v>14</v>
      </c>
      <c r="AF1114" s="3" t="s">
        <v>0</v>
      </c>
      <c r="AG1114" s="3" t="s">
        <v>49</v>
      </c>
    </row>
    <row r="1115" spans="1:33" ht="76.5" x14ac:dyDescent="0.2">
      <c r="A1115" s="5" t="str">
        <f>HYPERLINK("http://www.patentics.cn/invokexml.do?sf=ShowPatent&amp;spn=US9374436&amp;sv=d2e1bc5e1ce9ca5c3c368dbd1ad0830b","US9374436")</f>
        <v>US9374436</v>
      </c>
      <c r="B1115" s="3" t="s">
        <v>5167</v>
      </c>
      <c r="C1115" s="3" t="s">
        <v>5168</v>
      </c>
      <c r="D1115" s="3" t="s">
        <v>52</v>
      </c>
      <c r="E1115" s="3" t="s">
        <v>52</v>
      </c>
      <c r="F1115" s="3" t="s">
        <v>5163</v>
      </c>
      <c r="G1115" s="3" t="s">
        <v>5164</v>
      </c>
      <c r="H1115" s="3" t="s">
        <v>4920</v>
      </c>
      <c r="I1115" s="3" t="s">
        <v>5165</v>
      </c>
      <c r="J1115" s="3" t="s">
        <v>1094</v>
      </c>
      <c r="K1115" s="3" t="s">
        <v>555</v>
      </c>
      <c r="L1115" s="3" t="s">
        <v>556</v>
      </c>
      <c r="M1115" s="3" t="s">
        <v>58</v>
      </c>
      <c r="N1115" s="3" t="s">
        <v>5166</v>
      </c>
      <c r="O1115" s="3">
        <v>0</v>
      </c>
      <c r="P1115" s="3">
        <v>20</v>
      </c>
      <c r="Q1115" s="3" t="s">
        <v>60</v>
      </c>
      <c r="R1115" s="3" t="s">
        <v>61</v>
      </c>
      <c r="S1115" s="3">
        <v>28</v>
      </c>
      <c r="T1115" s="3">
        <v>2</v>
      </c>
      <c r="U1115" s="3">
        <v>26</v>
      </c>
      <c r="V1115" s="3">
        <v>17</v>
      </c>
      <c r="W1115" s="3">
        <v>0</v>
      </c>
      <c r="X1115" s="3" t="s">
        <v>147</v>
      </c>
      <c r="Y1115" s="3">
        <v>0</v>
      </c>
      <c r="Z1115" s="3">
        <v>0</v>
      </c>
      <c r="AA1115" s="3">
        <v>0</v>
      </c>
      <c r="AB1115" s="3">
        <v>0</v>
      </c>
      <c r="AC1115" s="3">
        <v>17</v>
      </c>
      <c r="AD1115" s="3">
        <v>8</v>
      </c>
      <c r="AE1115" s="3">
        <v>14</v>
      </c>
      <c r="AF1115" s="3" t="s">
        <v>0</v>
      </c>
      <c r="AG1115" s="3" t="s">
        <v>49</v>
      </c>
    </row>
    <row r="1116" spans="1:33" x14ac:dyDescent="0.2">
      <c r="A1116" s="4" t="str">
        <f>HYPERLINK("http://www.patentics.cn/invokexml.do?sf=ShowPatent&amp;spn=CN101720119&amp;sv=7cbf08d317804f62c0061fa3cc37b7aa","CN101720119")</f>
        <v>CN101720119</v>
      </c>
      <c r="B1116" s="2" t="s">
        <v>5169</v>
      </c>
      <c r="C1116" s="2" t="s">
        <v>5170</v>
      </c>
      <c r="D1116" s="2" t="s">
        <v>38</v>
      </c>
      <c r="E1116" s="2" t="s">
        <v>38</v>
      </c>
      <c r="F1116" s="2" t="s">
        <v>5171</v>
      </c>
      <c r="G1116" s="2" t="s">
        <v>5171</v>
      </c>
      <c r="H1116" s="2" t="s">
        <v>1567</v>
      </c>
      <c r="I1116" s="2" t="s">
        <v>1567</v>
      </c>
      <c r="J1116" s="2" t="s">
        <v>926</v>
      </c>
      <c r="K1116" s="2" t="s">
        <v>82</v>
      </c>
      <c r="L1116" s="2" t="s">
        <v>2047</v>
      </c>
      <c r="M1116" s="2" t="s">
        <v>0</v>
      </c>
      <c r="N1116" s="2" t="s">
        <v>0</v>
      </c>
      <c r="O1116" s="2">
        <v>12</v>
      </c>
      <c r="P1116" s="2">
        <v>3</v>
      </c>
      <c r="Q1116" s="2" t="s">
        <v>46</v>
      </c>
      <c r="R1116" s="2" t="s">
        <v>47</v>
      </c>
      <c r="S1116" s="2">
        <v>0</v>
      </c>
      <c r="T1116" s="2">
        <v>0</v>
      </c>
      <c r="U1116" s="2">
        <v>0</v>
      </c>
      <c r="V1116" s="2">
        <v>0</v>
      </c>
      <c r="W1116" s="2">
        <v>13</v>
      </c>
      <c r="X1116" s="2" t="s">
        <v>5172</v>
      </c>
      <c r="Y1116" s="2">
        <v>8</v>
      </c>
      <c r="Z1116" s="2">
        <v>5</v>
      </c>
      <c r="AA1116" s="2">
        <v>3</v>
      </c>
      <c r="AB1116" s="2">
        <v>3</v>
      </c>
      <c r="AC1116" s="2">
        <v>2</v>
      </c>
      <c r="AD1116" s="2">
        <v>2</v>
      </c>
      <c r="AE1116" s="2" t="s">
        <v>0</v>
      </c>
      <c r="AF1116" s="2">
        <v>2</v>
      </c>
      <c r="AG1116" s="2" t="s">
        <v>49</v>
      </c>
    </row>
    <row r="1117" spans="1:33" ht="89.25" x14ac:dyDescent="0.2">
      <c r="A1117" s="5" t="str">
        <f>HYPERLINK("http://www.patentics.cn/invokexml.do?sf=ShowPatent&amp;spn=US9386607&amp;sv=aaeef4ee9cc5b3f1963a04ad57f8d844","US9386607")</f>
        <v>US9386607</v>
      </c>
      <c r="B1117" s="3" t="s">
        <v>5173</v>
      </c>
      <c r="C1117" s="3" t="s">
        <v>5174</v>
      </c>
      <c r="D1117" s="3" t="s">
        <v>52</v>
      </c>
      <c r="E1117" s="3" t="s">
        <v>52</v>
      </c>
      <c r="F1117" s="3" t="s">
        <v>5175</v>
      </c>
      <c r="G1117" s="3" t="s">
        <v>5176</v>
      </c>
      <c r="H1117" s="3" t="s">
        <v>2924</v>
      </c>
      <c r="I1117" s="3" t="s">
        <v>2445</v>
      </c>
      <c r="J1117" s="3" t="s">
        <v>708</v>
      </c>
      <c r="K1117" s="3" t="s">
        <v>82</v>
      </c>
      <c r="L1117" s="3" t="s">
        <v>2015</v>
      </c>
      <c r="M1117" s="3" t="s">
        <v>82</v>
      </c>
      <c r="N1117" s="3" t="s">
        <v>5119</v>
      </c>
      <c r="O1117" s="3">
        <v>0</v>
      </c>
      <c r="P1117" s="3">
        <v>13</v>
      </c>
      <c r="Q1117" s="3" t="s">
        <v>60</v>
      </c>
      <c r="R1117" s="3" t="s">
        <v>61</v>
      </c>
      <c r="S1117" s="3">
        <v>23</v>
      </c>
      <c r="T1117" s="3">
        <v>1</v>
      </c>
      <c r="U1117" s="3">
        <v>22</v>
      </c>
      <c r="V1117" s="3">
        <v>12</v>
      </c>
      <c r="W1117" s="3">
        <v>1</v>
      </c>
      <c r="X1117" s="3" t="s">
        <v>5030</v>
      </c>
      <c r="Y1117" s="3">
        <v>1</v>
      </c>
      <c r="Z1117" s="3">
        <v>0</v>
      </c>
      <c r="AA1117" s="3">
        <v>1</v>
      </c>
      <c r="AB1117" s="3">
        <v>1</v>
      </c>
      <c r="AC1117" s="3">
        <v>13</v>
      </c>
      <c r="AD1117" s="3">
        <v>6</v>
      </c>
      <c r="AE1117" s="3">
        <v>14</v>
      </c>
      <c r="AF1117" s="3" t="s">
        <v>0</v>
      </c>
      <c r="AG1117" s="3" t="s">
        <v>49</v>
      </c>
    </row>
    <row r="1118" spans="1:33" ht="51" x14ac:dyDescent="0.2">
      <c r="A1118" s="5" t="str">
        <f>HYPERLINK("http://www.patentics.cn/invokexml.do?sf=ShowPatent&amp;spn=CN103004279B&amp;sv=552c49b4bc6142fd2d826fe15d903840","CN103004279B")</f>
        <v>CN103004279B</v>
      </c>
      <c r="B1118" s="3" t="s">
        <v>5177</v>
      </c>
      <c r="C1118" s="3" t="s">
        <v>5178</v>
      </c>
      <c r="D1118" s="3" t="s">
        <v>338</v>
      </c>
      <c r="E1118" s="3" t="s">
        <v>338</v>
      </c>
      <c r="F1118" s="3" t="s">
        <v>5179</v>
      </c>
      <c r="G1118" s="3" t="s">
        <v>3027</v>
      </c>
      <c r="H1118" s="3" t="s">
        <v>2924</v>
      </c>
      <c r="I1118" s="3" t="s">
        <v>5180</v>
      </c>
      <c r="J1118" s="3" t="s">
        <v>2516</v>
      </c>
      <c r="K1118" s="3" t="s">
        <v>82</v>
      </c>
      <c r="L1118" s="3" t="s">
        <v>2015</v>
      </c>
      <c r="M1118" s="3" t="s">
        <v>0</v>
      </c>
      <c r="N1118" s="3" t="s">
        <v>0</v>
      </c>
      <c r="O1118" s="3">
        <v>29</v>
      </c>
      <c r="P1118" s="3">
        <v>13</v>
      </c>
      <c r="Q1118" s="3" t="s">
        <v>60</v>
      </c>
      <c r="R1118" s="3" t="s">
        <v>61</v>
      </c>
      <c r="S1118" s="3">
        <v>2</v>
      </c>
      <c r="T1118" s="3">
        <v>0</v>
      </c>
      <c r="U1118" s="3">
        <v>2</v>
      </c>
      <c r="V1118" s="3">
        <v>2</v>
      </c>
      <c r="W1118" s="3">
        <v>0</v>
      </c>
      <c r="X1118" s="3" t="s">
        <v>147</v>
      </c>
      <c r="Y1118" s="3">
        <v>0</v>
      </c>
      <c r="Z1118" s="3">
        <v>0</v>
      </c>
      <c r="AA1118" s="3">
        <v>0</v>
      </c>
      <c r="AB1118" s="3">
        <v>0</v>
      </c>
      <c r="AC1118" s="3">
        <v>13</v>
      </c>
      <c r="AD1118" s="3">
        <v>6</v>
      </c>
      <c r="AE1118" s="3">
        <v>14</v>
      </c>
      <c r="AF1118" s="3" t="s">
        <v>0</v>
      </c>
      <c r="AG1118" s="3" t="s">
        <v>49</v>
      </c>
    </row>
    <row r="1119" spans="1:33" ht="38.25" x14ac:dyDescent="0.2">
      <c r="A1119" s="4" t="str">
        <f>HYPERLINK("http://www.patentics.cn/invokexml.do?sf=ShowPatent&amp;spn=CN101702644&amp;sv=d3ee68edb1b56ff120c8f28c6332c824","CN101702644")</f>
        <v>CN101702644</v>
      </c>
      <c r="B1119" s="2" t="s">
        <v>5181</v>
      </c>
      <c r="C1119" s="2" t="s">
        <v>5182</v>
      </c>
      <c r="D1119" s="2" t="s">
        <v>38</v>
      </c>
      <c r="E1119" s="2" t="s">
        <v>38</v>
      </c>
      <c r="F1119" s="2" t="s">
        <v>5183</v>
      </c>
      <c r="G1119" s="2" t="s">
        <v>2814</v>
      </c>
      <c r="H1119" s="2" t="s">
        <v>4312</v>
      </c>
      <c r="I1119" s="2" t="s">
        <v>4312</v>
      </c>
      <c r="J1119" s="2" t="s">
        <v>2658</v>
      </c>
      <c r="K1119" s="2" t="s">
        <v>58</v>
      </c>
      <c r="L1119" s="2" t="s">
        <v>1980</v>
      </c>
      <c r="M1119" s="2" t="s">
        <v>0</v>
      </c>
      <c r="N1119" s="2" t="s">
        <v>0</v>
      </c>
      <c r="O1119" s="2">
        <v>15</v>
      </c>
      <c r="P1119" s="2">
        <v>14</v>
      </c>
      <c r="Q1119" s="2" t="s">
        <v>46</v>
      </c>
      <c r="R1119" s="2" t="s">
        <v>47</v>
      </c>
      <c r="S1119" s="2">
        <v>0</v>
      </c>
      <c r="T1119" s="2">
        <v>0</v>
      </c>
      <c r="U1119" s="2">
        <v>0</v>
      </c>
      <c r="V1119" s="2">
        <v>0</v>
      </c>
      <c r="W1119" s="2">
        <v>15</v>
      </c>
      <c r="X1119" s="2" t="s">
        <v>5184</v>
      </c>
      <c r="Y1119" s="2">
        <v>3</v>
      </c>
      <c r="Z1119" s="2">
        <v>12</v>
      </c>
      <c r="AA1119" s="2">
        <v>5</v>
      </c>
      <c r="AB1119" s="2">
        <v>3</v>
      </c>
      <c r="AC1119" s="2">
        <v>2</v>
      </c>
      <c r="AD1119" s="2">
        <v>2</v>
      </c>
      <c r="AE1119" s="2" t="s">
        <v>0</v>
      </c>
      <c r="AF1119" s="2">
        <v>2</v>
      </c>
      <c r="AG1119" s="2" t="s">
        <v>49</v>
      </c>
    </row>
    <row r="1120" spans="1:33" ht="76.5" x14ac:dyDescent="0.2">
      <c r="A1120" s="5" t="str">
        <f>HYPERLINK("http://www.patentics.cn/invokexml.do?sf=ShowPatent&amp;spn=US8934421&amp;sv=542129330827a06a057383841c222066","US8934421")</f>
        <v>US8934421</v>
      </c>
      <c r="B1120" s="3" t="s">
        <v>5185</v>
      </c>
      <c r="C1120" s="3" t="s">
        <v>5186</v>
      </c>
      <c r="D1120" s="3" t="s">
        <v>52</v>
      </c>
      <c r="E1120" s="3" t="s">
        <v>52</v>
      </c>
      <c r="F1120" s="3" t="s">
        <v>5187</v>
      </c>
      <c r="G1120" s="3" t="s">
        <v>1091</v>
      </c>
      <c r="H1120" s="3" t="s">
        <v>844</v>
      </c>
      <c r="I1120" s="3" t="s">
        <v>4946</v>
      </c>
      <c r="J1120" s="3" t="s">
        <v>496</v>
      </c>
      <c r="K1120" s="3" t="s">
        <v>82</v>
      </c>
      <c r="L1120" s="3" t="s">
        <v>83</v>
      </c>
      <c r="M1120" s="3" t="s">
        <v>58</v>
      </c>
      <c r="N1120" s="3" t="s">
        <v>4879</v>
      </c>
      <c r="O1120" s="3">
        <v>0</v>
      </c>
      <c r="P1120" s="3">
        <v>15</v>
      </c>
      <c r="Q1120" s="3" t="s">
        <v>60</v>
      </c>
      <c r="R1120" s="3" t="s">
        <v>61</v>
      </c>
      <c r="S1120" s="3">
        <v>16</v>
      </c>
      <c r="T1120" s="3">
        <v>6</v>
      </c>
      <c r="U1120" s="3">
        <v>10</v>
      </c>
      <c r="V1120" s="3">
        <v>7</v>
      </c>
      <c r="W1120" s="3">
        <v>0</v>
      </c>
      <c r="X1120" s="3" t="s">
        <v>147</v>
      </c>
      <c r="Y1120" s="3">
        <v>0</v>
      </c>
      <c r="Z1120" s="3">
        <v>0</v>
      </c>
      <c r="AA1120" s="3">
        <v>0</v>
      </c>
      <c r="AB1120" s="3">
        <v>0</v>
      </c>
      <c r="AC1120" s="3">
        <v>7</v>
      </c>
      <c r="AD1120" s="3">
        <v>6</v>
      </c>
      <c r="AE1120" s="3">
        <v>14</v>
      </c>
      <c r="AF1120" s="3" t="s">
        <v>0</v>
      </c>
      <c r="AG1120" s="3" t="s">
        <v>49</v>
      </c>
    </row>
    <row r="1121" spans="1:33" ht="63.75" x14ac:dyDescent="0.2">
      <c r="A1121" s="5" t="str">
        <f>HYPERLINK("http://www.patentics.cn/invokexml.do?sf=ShowPatent&amp;spn=WO2011143487&amp;sv=fb63df89682fdaf57ddec2ccf2de7d2d","WO2011143487")</f>
        <v>WO2011143487</v>
      </c>
      <c r="B1121" s="3" t="s">
        <v>5188</v>
      </c>
      <c r="C1121" s="3" t="s">
        <v>5189</v>
      </c>
      <c r="D1121" s="3" t="s">
        <v>5190</v>
      </c>
      <c r="E1121" s="3" t="s">
        <v>5191</v>
      </c>
      <c r="F1121" s="3" t="s">
        <v>5192</v>
      </c>
      <c r="G1121" s="3" t="s">
        <v>4607</v>
      </c>
      <c r="H1121" s="3" t="s">
        <v>844</v>
      </c>
      <c r="I1121" s="3" t="s">
        <v>2247</v>
      </c>
      <c r="J1121" s="3" t="s">
        <v>4947</v>
      </c>
      <c r="K1121" s="3" t="s">
        <v>58</v>
      </c>
      <c r="L1121" s="3" t="s">
        <v>1980</v>
      </c>
      <c r="M1121" s="3" t="s">
        <v>0</v>
      </c>
      <c r="N1121" s="3" t="s">
        <v>0</v>
      </c>
      <c r="O1121" s="3">
        <v>68</v>
      </c>
      <c r="P1121" s="3">
        <v>12</v>
      </c>
      <c r="Q1121" s="3" t="s">
        <v>352</v>
      </c>
      <c r="R1121" s="3" t="s">
        <v>61</v>
      </c>
      <c r="S1121" s="3">
        <v>2</v>
      </c>
      <c r="T1121" s="3">
        <v>1</v>
      </c>
      <c r="U1121" s="3">
        <v>1</v>
      </c>
      <c r="V1121" s="3">
        <v>2</v>
      </c>
      <c r="W1121" s="3">
        <v>0</v>
      </c>
      <c r="X1121" s="3" t="s">
        <v>147</v>
      </c>
      <c r="Y1121" s="3">
        <v>0</v>
      </c>
      <c r="Z1121" s="3">
        <v>0</v>
      </c>
      <c r="AA1121" s="3">
        <v>0</v>
      </c>
      <c r="AB1121" s="3">
        <v>0</v>
      </c>
      <c r="AC1121" s="3">
        <v>7</v>
      </c>
      <c r="AD1121" s="3">
        <v>6</v>
      </c>
      <c r="AE1121" s="3">
        <v>14</v>
      </c>
      <c r="AF1121" s="3" t="s">
        <v>0</v>
      </c>
      <c r="AG1121" s="3" t="s">
        <v>0</v>
      </c>
    </row>
    <row r="1122" spans="1:33" ht="25.5" x14ac:dyDescent="0.2">
      <c r="A1122" s="4" t="str">
        <f>HYPERLINK("http://www.patentics.cn/invokexml.do?sf=ShowPatent&amp;spn=CN101615984&amp;sv=345a33e09a616c5121bd4d622491583f","CN101615984")</f>
        <v>CN101615984</v>
      </c>
      <c r="B1122" s="2" t="s">
        <v>5193</v>
      </c>
      <c r="C1122" s="2" t="s">
        <v>5194</v>
      </c>
      <c r="D1122" s="2" t="s">
        <v>38</v>
      </c>
      <c r="E1122" s="2" t="s">
        <v>38</v>
      </c>
      <c r="F1122" s="2" t="s">
        <v>5195</v>
      </c>
      <c r="G1122" s="2" t="s">
        <v>5196</v>
      </c>
      <c r="H1122" s="2" t="s">
        <v>5197</v>
      </c>
      <c r="I1122" s="2" t="s">
        <v>5197</v>
      </c>
      <c r="J1122" s="2" t="s">
        <v>3392</v>
      </c>
      <c r="K1122" s="2" t="s">
        <v>58</v>
      </c>
      <c r="L1122" s="2" t="s">
        <v>2734</v>
      </c>
      <c r="M1122" s="2" t="s">
        <v>0</v>
      </c>
      <c r="N1122" s="2" t="s">
        <v>0</v>
      </c>
      <c r="O1122" s="2">
        <v>15</v>
      </c>
      <c r="P1122" s="2">
        <v>16</v>
      </c>
      <c r="Q1122" s="2" t="s">
        <v>46</v>
      </c>
      <c r="R1122" s="2" t="s">
        <v>47</v>
      </c>
      <c r="S1122" s="2">
        <v>0</v>
      </c>
      <c r="T1122" s="2">
        <v>0</v>
      </c>
      <c r="U1122" s="2">
        <v>0</v>
      </c>
      <c r="V1122" s="2">
        <v>0</v>
      </c>
      <c r="W1122" s="2">
        <v>42</v>
      </c>
      <c r="X1122" s="2" t="s">
        <v>5198</v>
      </c>
      <c r="Y1122" s="2">
        <v>6</v>
      </c>
      <c r="Z1122" s="2">
        <v>36</v>
      </c>
      <c r="AA1122" s="2">
        <v>13</v>
      </c>
      <c r="AB1122" s="2">
        <v>5</v>
      </c>
      <c r="AC1122" s="2">
        <v>2</v>
      </c>
      <c r="AD1122" s="2">
        <v>2</v>
      </c>
      <c r="AE1122" s="2" t="s">
        <v>0</v>
      </c>
      <c r="AF1122" s="2">
        <v>2</v>
      </c>
      <c r="AG1122" s="2" t="s">
        <v>49</v>
      </c>
    </row>
    <row r="1123" spans="1:33" ht="89.25" x14ac:dyDescent="0.2">
      <c r="A1123" s="5" t="str">
        <f>HYPERLINK("http://www.patentics.cn/invokexml.do?sf=ShowPatent&amp;spn=US9369234&amp;sv=465f0fadf81a3bde9415db6b4d3dcf46","US9369234")</f>
        <v>US9369234</v>
      </c>
      <c r="B1123" s="3" t="s">
        <v>5199</v>
      </c>
      <c r="C1123" s="3" t="s">
        <v>5200</v>
      </c>
      <c r="D1123" s="3" t="s">
        <v>52</v>
      </c>
      <c r="E1123" s="3" t="s">
        <v>52</v>
      </c>
      <c r="F1123" s="3" t="s">
        <v>5201</v>
      </c>
      <c r="G1123" s="3" t="s">
        <v>5105</v>
      </c>
      <c r="H1123" s="3" t="s">
        <v>3181</v>
      </c>
      <c r="I1123" s="3" t="s">
        <v>2809</v>
      </c>
      <c r="J1123" s="3" t="s">
        <v>2829</v>
      </c>
      <c r="K1123" s="3" t="s">
        <v>84</v>
      </c>
      <c r="L1123" s="3" t="s">
        <v>411</v>
      </c>
      <c r="M1123" s="3" t="s">
        <v>58</v>
      </c>
      <c r="N1123" s="3" t="s">
        <v>1907</v>
      </c>
      <c r="O1123" s="3">
        <v>0</v>
      </c>
      <c r="P1123" s="3">
        <v>23</v>
      </c>
      <c r="Q1123" s="3" t="s">
        <v>60</v>
      </c>
      <c r="R1123" s="3" t="s">
        <v>61</v>
      </c>
      <c r="S1123" s="3">
        <v>16</v>
      </c>
      <c r="T1123" s="3">
        <v>1</v>
      </c>
      <c r="U1123" s="3">
        <v>15</v>
      </c>
      <c r="V1123" s="3">
        <v>12</v>
      </c>
      <c r="W1123" s="3">
        <v>8</v>
      </c>
      <c r="X1123" s="3" t="s">
        <v>147</v>
      </c>
      <c r="Y1123" s="3">
        <v>0</v>
      </c>
      <c r="Z1123" s="3">
        <v>8</v>
      </c>
      <c r="AA1123" s="3">
        <v>0</v>
      </c>
      <c r="AB1123" s="3">
        <v>1</v>
      </c>
      <c r="AC1123" s="3">
        <v>9</v>
      </c>
      <c r="AD1123" s="3">
        <v>6</v>
      </c>
      <c r="AE1123" s="3">
        <v>14</v>
      </c>
      <c r="AF1123" s="3" t="s">
        <v>0</v>
      </c>
      <c r="AG1123" s="3" t="s">
        <v>49</v>
      </c>
    </row>
    <row r="1124" spans="1:33" ht="51" x14ac:dyDescent="0.2">
      <c r="A1124" s="5" t="str">
        <f>HYPERLINK("http://www.patentics.cn/invokexml.do?sf=ShowPatent&amp;spn=CN103270714B&amp;sv=a0e4aadc0e08f52cc65ed250c64dfe97","CN103270714B")</f>
        <v>CN103270714B</v>
      </c>
      <c r="B1124" s="3" t="s">
        <v>5202</v>
      </c>
      <c r="C1124" s="3" t="s">
        <v>5203</v>
      </c>
      <c r="D1124" s="3" t="s">
        <v>338</v>
      </c>
      <c r="E1124" s="3" t="s">
        <v>338</v>
      </c>
      <c r="F1124" s="3" t="s">
        <v>5204</v>
      </c>
      <c r="G1124" s="3" t="s">
        <v>5109</v>
      </c>
      <c r="H1124" s="3" t="s">
        <v>3181</v>
      </c>
      <c r="I1124" s="3" t="s">
        <v>2398</v>
      </c>
      <c r="J1124" s="3" t="s">
        <v>5205</v>
      </c>
      <c r="K1124" s="3" t="s">
        <v>58</v>
      </c>
      <c r="L1124" s="3" t="s">
        <v>613</v>
      </c>
      <c r="M1124" s="3" t="s">
        <v>0</v>
      </c>
      <c r="N1124" s="3" t="s">
        <v>0</v>
      </c>
      <c r="O1124" s="3">
        <v>39</v>
      </c>
      <c r="P1124" s="3">
        <v>17</v>
      </c>
      <c r="Q1124" s="3" t="s">
        <v>60</v>
      </c>
      <c r="R1124" s="3" t="s">
        <v>61</v>
      </c>
      <c r="S1124" s="3">
        <v>1</v>
      </c>
      <c r="T1124" s="3">
        <v>0</v>
      </c>
      <c r="U1124" s="3">
        <v>1</v>
      </c>
      <c r="V1124" s="3">
        <v>1</v>
      </c>
      <c r="W1124" s="3">
        <v>0</v>
      </c>
      <c r="X1124" s="3" t="s">
        <v>147</v>
      </c>
      <c r="Y1124" s="3">
        <v>0</v>
      </c>
      <c r="Z1124" s="3">
        <v>0</v>
      </c>
      <c r="AA1124" s="3">
        <v>0</v>
      </c>
      <c r="AB1124" s="3">
        <v>0</v>
      </c>
      <c r="AC1124" s="3">
        <v>0</v>
      </c>
      <c r="AD1124" s="3">
        <v>0</v>
      </c>
      <c r="AE1124" s="3">
        <v>14</v>
      </c>
      <c r="AF1124" s="3" t="s">
        <v>0</v>
      </c>
      <c r="AG1124" s="3" t="s">
        <v>49</v>
      </c>
    </row>
    <row r="1125" spans="1:33" ht="51" x14ac:dyDescent="0.2">
      <c r="A1125" s="4" t="str">
        <f>HYPERLINK("http://www.patentics.cn/invokexml.do?sf=ShowPatent&amp;spn=CN101577574&amp;sv=8a09483bf3bbfd5898fa3d96245be592","CN101577574")</f>
        <v>CN101577574</v>
      </c>
      <c r="B1125" s="2" t="s">
        <v>5206</v>
      </c>
      <c r="C1125" s="2" t="s">
        <v>5207</v>
      </c>
      <c r="D1125" s="2" t="s">
        <v>38</v>
      </c>
      <c r="E1125" s="2" t="s">
        <v>38</v>
      </c>
      <c r="F1125" s="2" t="s">
        <v>5208</v>
      </c>
      <c r="G1125" s="2" t="s">
        <v>5209</v>
      </c>
      <c r="H1125" s="2" t="s">
        <v>5210</v>
      </c>
      <c r="I1125" s="2" t="s">
        <v>5210</v>
      </c>
      <c r="J1125" s="2" t="s">
        <v>5211</v>
      </c>
      <c r="K1125" s="2" t="s">
        <v>84</v>
      </c>
      <c r="L1125" s="2" t="s">
        <v>343</v>
      </c>
      <c r="M1125" s="2" t="s">
        <v>0</v>
      </c>
      <c r="N1125" s="2" t="s">
        <v>0</v>
      </c>
      <c r="O1125" s="2">
        <v>11</v>
      </c>
      <c r="P1125" s="2">
        <v>19</v>
      </c>
      <c r="Q1125" s="2" t="s">
        <v>46</v>
      </c>
      <c r="R1125" s="2" t="s">
        <v>47</v>
      </c>
      <c r="S1125" s="2">
        <v>0</v>
      </c>
      <c r="T1125" s="2">
        <v>0</v>
      </c>
      <c r="U1125" s="2">
        <v>0</v>
      </c>
      <c r="V1125" s="2">
        <v>0</v>
      </c>
      <c r="W1125" s="2">
        <v>3</v>
      </c>
      <c r="X1125" s="2" t="s">
        <v>5212</v>
      </c>
      <c r="Y1125" s="2">
        <v>0</v>
      </c>
      <c r="Z1125" s="2">
        <v>3</v>
      </c>
      <c r="AA1125" s="2">
        <v>2</v>
      </c>
      <c r="AB1125" s="2">
        <v>3</v>
      </c>
      <c r="AC1125" s="2">
        <v>1</v>
      </c>
      <c r="AD1125" s="2">
        <v>1</v>
      </c>
      <c r="AE1125" s="2" t="s">
        <v>0</v>
      </c>
      <c r="AF1125" s="2">
        <v>2</v>
      </c>
      <c r="AG1125" s="2" t="s">
        <v>49</v>
      </c>
    </row>
    <row r="1126" spans="1:33" ht="114.75" x14ac:dyDescent="0.2">
      <c r="A1126" s="5" t="str">
        <f>HYPERLINK("http://www.patentics.cn/invokexml.do?sf=ShowPatent&amp;spn=US9130631&amp;sv=6e530fafe7aabbb04d8205981ef786fa","US9130631")</f>
        <v>US9130631</v>
      </c>
      <c r="B1126" s="3" t="s">
        <v>5213</v>
      </c>
      <c r="C1126" s="3" t="s">
        <v>5214</v>
      </c>
      <c r="D1126" s="3" t="s">
        <v>52</v>
      </c>
      <c r="E1126" s="3" t="s">
        <v>52</v>
      </c>
      <c r="F1126" s="3" t="s">
        <v>5215</v>
      </c>
      <c r="G1126" s="3" t="s">
        <v>90</v>
      </c>
      <c r="H1126" s="3" t="s">
        <v>3544</v>
      </c>
      <c r="I1126" s="3" t="s">
        <v>5216</v>
      </c>
      <c r="J1126" s="3" t="s">
        <v>219</v>
      </c>
      <c r="K1126" s="3" t="s">
        <v>43</v>
      </c>
      <c r="L1126" s="3" t="s">
        <v>57</v>
      </c>
      <c r="M1126" s="3" t="s">
        <v>0</v>
      </c>
      <c r="N1126" s="3" t="s">
        <v>0</v>
      </c>
      <c r="O1126" s="3">
        <v>0</v>
      </c>
      <c r="P1126" s="3">
        <v>18</v>
      </c>
      <c r="Q1126" s="3" t="s">
        <v>60</v>
      </c>
      <c r="R1126" s="3" t="s">
        <v>61</v>
      </c>
      <c r="S1126" s="3">
        <v>49</v>
      </c>
      <c r="T1126" s="3">
        <v>7</v>
      </c>
      <c r="U1126" s="3">
        <v>42</v>
      </c>
      <c r="V1126" s="3">
        <v>21</v>
      </c>
      <c r="W1126" s="3">
        <v>0</v>
      </c>
      <c r="X1126" s="3" t="s">
        <v>147</v>
      </c>
      <c r="Y1126" s="3">
        <v>0</v>
      </c>
      <c r="Z1126" s="3">
        <v>0</v>
      </c>
      <c r="AA1126" s="3">
        <v>0</v>
      </c>
      <c r="AB1126" s="3">
        <v>0</v>
      </c>
      <c r="AC1126" s="3">
        <v>15</v>
      </c>
      <c r="AD1126" s="3">
        <v>7</v>
      </c>
      <c r="AE1126" s="3">
        <v>14</v>
      </c>
      <c r="AF1126" s="3" t="s">
        <v>0</v>
      </c>
      <c r="AG1126" s="3" t="s">
        <v>49</v>
      </c>
    </row>
    <row r="1127" spans="1:33" ht="63.75" x14ac:dyDescent="0.2">
      <c r="A1127" s="5" t="str">
        <f>HYPERLINK("http://www.patentics.cn/invokexml.do?sf=ShowPatent&amp;spn=CN103201964B&amp;sv=7732940aeec36c3b4e4e11a5d62e1efb","CN103201964B")</f>
        <v>CN103201964B</v>
      </c>
      <c r="B1127" s="3" t="s">
        <v>5217</v>
      </c>
      <c r="C1127" s="3" t="s">
        <v>5218</v>
      </c>
      <c r="D1127" s="3" t="s">
        <v>338</v>
      </c>
      <c r="E1127" s="3" t="s">
        <v>338</v>
      </c>
      <c r="F1127" s="3" t="s">
        <v>5219</v>
      </c>
      <c r="G1127" s="3" t="s">
        <v>5220</v>
      </c>
      <c r="H1127" s="3" t="s">
        <v>3544</v>
      </c>
      <c r="I1127" s="3" t="s">
        <v>1693</v>
      </c>
      <c r="J1127" s="3" t="s">
        <v>3560</v>
      </c>
      <c r="K1127" s="3" t="s">
        <v>84</v>
      </c>
      <c r="L1127" s="3" t="s">
        <v>343</v>
      </c>
      <c r="M1127" s="3" t="s">
        <v>0</v>
      </c>
      <c r="N1127" s="3" t="s">
        <v>0</v>
      </c>
      <c r="O1127" s="3">
        <v>44</v>
      </c>
      <c r="P1127" s="3">
        <v>17</v>
      </c>
      <c r="Q1127" s="3" t="s">
        <v>60</v>
      </c>
      <c r="R1127" s="3" t="s">
        <v>61</v>
      </c>
      <c r="S1127" s="3">
        <v>1</v>
      </c>
      <c r="T1127" s="3">
        <v>0</v>
      </c>
      <c r="U1127" s="3">
        <v>1</v>
      </c>
      <c r="V1127" s="3">
        <v>1</v>
      </c>
      <c r="W1127" s="3">
        <v>0</v>
      </c>
      <c r="X1127" s="3" t="s">
        <v>147</v>
      </c>
      <c r="Y1127" s="3">
        <v>0</v>
      </c>
      <c r="Z1127" s="3">
        <v>0</v>
      </c>
      <c r="AA1127" s="3">
        <v>0</v>
      </c>
      <c r="AB1127" s="3">
        <v>0</v>
      </c>
      <c r="AC1127" s="3">
        <v>15</v>
      </c>
      <c r="AD1127" s="3">
        <v>7</v>
      </c>
      <c r="AE1127" s="3">
        <v>14</v>
      </c>
      <c r="AF1127" s="3" t="s">
        <v>0</v>
      </c>
      <c r="AG1127" s="3" t="s">
        <v>49</v>
      </c>
    </row>
    <row r="1128" spans="1:33" x14ac:dyDescent="0.2">
      <c r="A1128" s="4" t="str">
        <f>HYPERLINK("http://www.patentics.cn/invokexml.do?sf=ShowPatent&amp;spn=CN101568128&amp;sv=b7c115d9493e6ec0dc907cba5e2b3772","CN101568128")</f>
        <v>CN101568128</v>
      </c>
      <c r="B1128" s="2" t="s">
        <v>5221</v>
      </c>
      <c r="C1128" s="2" t="s">
        <v>5222</v>
      </c>
      <c r="D1128" s="2" t="s">
        <v>38</v>
      </c>
      <c r="E1128" s="2" t="s">
        <v>38</v>
      </c>
      <c r="F1128" s="2" t="s">
        <v>5223</v>
      </c>
      <c r="G1128" s="2" t="s">
        <v>5223</v>
      </c>
      <c r="H1128" s="2" t="s">
        <v>5224</v>
      </c>
      <c r="I1128" s="2" t="s">
        <v>5224</v>
      </c>
      <c r="J1128" s="2" t="s">
        <v>5225</v>
      </c>
      <c r="K1128" s="2" t="s">
        <v>82</v>
      </c>
      <c r="L1128" s="2" t="s">
        <v>5226</v>
      </c>
      <c r="M1128" s="2" t="s">
        <v>0</v>
      </c>
      <c r="N1128" s="2" t="s">
        <v>0</v>
      </c>
      <c r="O1128" s="2">
        <v>8</v>
      </c>
      <c r="P1128" s="2">
        <v>25</v>
      </c>
      <c r="Q1128" s="2" t="s">
        <v>46</v>
      </c>
      <c r="R1128" s="2" t="s">
        <v>47</v>
      </c>
      <c r="S1128" s="2">
        <v>0</v>
      </c>
      <c r="T1128" s="2">
        <v>0</v>
      </c>
      <c r="U1128" s="2">
        <v>0</v>
      </c>
      <c r="V1128" s="2">
        <v>0</v>
      </c>
      <c r="W1128" s="2">
        <v>9</v>
      </c>
      <c r="X1128" s="2" t="s">
        <v>5227</v>
      </c>
      <c r="Y1128" s="2">
        <v>3</v>
      </c>
      <c r="Z1128" s="2">
        <v>6</v>
      </c>
      <c r="AA1128" s="2">
        <v>4</v>
      </c>
      <c r="AB1128" s="2">
        <v>3</v>
      </c>
      <c r="AC1128" s="2">
        <v>1</v>
      </c>
      <c r="AD1128" s="2">
        <v>1</v>
      </c>
      <c r="AE1128" s="2" t="s">
        <v>0</v>
      </c>
      <c r="AF1128" s="2">
        <v>2</v>
      </c>
      <c r="AG1128" s="2" t="s">
        <v>49</v>
      </c>
    </row>
    <row r="1129" spans="1:33" ht="51" x14ac:dyDescent="0.2">
      <c r="A1129" s="5" t="str">
        <f>HYPERLINK("http://www.patentics.cn/invokexml.do?sf=ShowPatent&amp;spn=US9380567&amp;sv=5e6740297bbea6cf7f2ae61cb5d0c710","US9380567")</f>
        <v>US9380567</v>
      </c>
      <c r="B1129" s="3" t="s">
        <v>5228</v>
      </c>
      <c r="C1129" s="3" t="s">
        <v>5229</v>
      </c>
      <c r="D1129" s="3" t="s">
        <v>52</v>
      </c>
      <c r="E1129" s="3" t="s">
        <v>52</v>
      </c>
      <c r="F1129" s="3" t="s">
        <v>5230</v>
      </c>
      <c r="G1129" s="3" t="s">
        <v>1091</v>
      </c>
      <c r="H1129" s="3" t="s">
        <v>3181</v>
      </c>
      <c r="I1129" s="3" t="s">
        <v>5231</v>
      </c>
      <c r="J1129" s="3" t="s">
        <v>704</v>
      </c>
      <c r="K1129" s="3" t="s">
        <v>82</v>
      </c>
      <c r="L1129" s="3" t="s">
        <v>244</v>
      </c>
      <c r="M1129" s="3" t="s">
        <v>82</v>
      </c>
      <c r="N1129" s="3" t="s">
        <v>1185</v>
      </c>
      <c r="O1129" s="3">
        <v>0</v>
      </c>
      <c r="P1129" s="3">
        <v>10</v>
      </c>
      <c r="Q1129" s="3" t="s">
        <v>60</v>
      </c>
      <c r="R1129" s="3" t="s">
        <v>61</v>
      </c>
      <c r="S1129" s="3">
        <v>17</v>
      </c>
      <c r="T1129" s="3">
        <v>1</v>
      </c>
      <c r="U1129" s="3">
        <v>16</v>
      </c>
      <c r="V1129" s="3">
        <v>4</v>
      </c>
      <c r="W1129" s="3">
        <v>0</v>
      </c>
      <c r="X1129" s="3" t="s">
        <v>147</v>
      </c>
      <c r="Y1129" s="3">
        <v>0</v>
      </c>
      <c r="Z1129" s="3">
        <v>0</v>
      </c>
      <c r="AA1129" s="3">
        <v>0</v>
      </c>
      <c r="AB1129" s="3">
        <v>0</v>
      </c>
      <c r="AC1129" s="3">
        <v>7</v>
      </c>
      <c r="AD1129" s="3">
        <v>6</v>
      </c>
      <c r="AE1129" s="3">
        <v>14</v>
      </c>
      <c r="AF1129" s="3" t="s">
        <v>0</v>
      </c>
      <c r="AG1129" s="3" t="s">
        <v>49</v>
      </c>
    </row>
    <row r="1130" spans="1:33" ht="25.5" x14ac:dyDescent="0.2">
      <c r="A1130" s="5" t="str">
        <f>HYPERLINK("http://www.patentics.cn/invokexml.do?sf=ShowPatent&amp;spn=CN103181112B&amp;sv=cbbfeacab6d7d1da3f0acb8359e59c09","CN103181112B")</f>
        <v>CN103181112B</v>
      </c>
      <c r="B1130" s="3" t="s">
        <v>5232</v>
      </c>
      <c r="C1130" s="3" t="s">
        <v>5233</v>
      </c>
      <c r="D1130" s="3" t="s">
        <v>338</v>
      </c>
      <c r="E1130" s="3" t="s">
        <v>338</v>
      </c>
      <c r="F1130" s="3" t="s">
        <v>5234</v>
      </c>
      <c r="G1130" s="3" t="s">
        <v>1190</v>
      </c>
      <c r="H1130" s="3" t="s">
        <v>3181</v>
      </c>
      <c r="I1130" s="3" t="s">
        <v>5235</v>
      </c>
      <c r="J1130" s="3" t="s">
        <v>5236</v>
      </c>
      <c r="K1130" s="3" t="s">
        <v>58</v>
      </c>
      <c r="L1130" s="3" t="s">
        <v>188</v>
      </c>
      <c r="M1130" s="3" t="s">
        <v>0</v>
      </c>
      <c r="N1130" s="3" t="s">
        <v>0</v>
      </c>
      <c r="O1130" s="3">
        <v>52</v>
      </c>
      <c r="P1130" s="3">
        <v>21</v>
      </c>
      <c r="Q1130" s="3" t="s">
        <v>60</v>
      </c>
      <c r="R1130" s="3" t="s">
        <v>61</v>
      </c>
      <c r="S1130" s="3">
        <v>1</v>
      </c>
      <c r="T1130" s="3">
        <v>0</v>
      </c>
      <c r="U1130" s="3">
        <v>1</v>
      </c>
      <c r="V1130" s="3">
        <v>1</v>
      </c>
      <c r="W1130" s="3">
        <v>0</v>
      </c>
      <c r="X1130" s="3" t="s">
        <v>147</v>
      </c>
      <c r="Y1130" s="3">
        <v>0</v>
      </c>
      <c r="Z1130" s="3">
        <v>0</v>
      </c>
      <c r="AA1130" s="3">
        <v>0</v>
      </c>
      <c r="AB1130" s="3">
        <v>0</v>
      </c>
      <c r="AC1130" s="3">
        <v>0</v>
      </c>
      <c r="AD1130" s="3">
        <v>0</v>
      </c>
      <c r="AE1130" s="3">
        <v>14</v>
      </c>
      <c r="AF1130" s="3" t="s">
        <v>0</v>
      </c>
      <c r="AG1130" s="3" t="s">
        <v>49</v>
      </c>
    </row>
    <row r="1131" spans="1:33" ht="25.5" x14ac:dyDescent="0.2">
      <c r="A1131" s="4" t="str">
        <f>HYPERLINK("http://www.patentics.cn/invokexml.do?sf=ShowPatent&amp;spn=CN101547423&amp;sv=94e05d2fc9097d897dd16a6aa1c23b88","CN101547423")</f>
        <v>CN101547423</v>
      </c>
      <c r="B1131" s="2" t="s">
        <v>5237</v>
      </c>
      <c r="C1131" s="2" t="s">
        <v>5238</v>
      </c>
      <c r="D1131" s="2" t="s">
        <v>38</v>
      </c>
      <c r="E1131" s="2" t="s">
        <v>38</v>
      </c>
      <c r="F1131" s="2" t="s">
        <v>5239</v>
      </c>
      <c r="G1131" s="2" t="s">
        <v>5239</v>
      </c>
      <c r="H1131" s="2" t="s">
        <v>4099</v>
      </c>
      <c r="I1131" s="2" t="s">
        <v>4099</v>
      </c>
      <c r="J1131" s="2" t="s">
        <v>2497</v>
      </c>
      <c r="K1131" s="2" t="s">
        <v>82</v>
      </c>
      <c r="L1131" s="2" t="s">
        <v>4889</v>
      </c>
      <c r="M1131" s="2" t="s">
        <v>0</v>
      </c>
      <c r="N1131" s="2" t="s">
        <v>0</v>
      </c>
      <c r="O1131" s="2">
        <v>10</v>
      </c>
      <c r="P1131" s="2">
        <v>19</v>
      </c>
      <c r="Q1131" s="2" t="s">
        <v>46</v>
      </c>
      <c r="R1131" s="2" t="s">
        <v>47</v>
      </c>
      <c r="S1131" s="2">
        <v>0</v>
      </c>
      <c r="T1131" s="2">
        <v>0</v>
      </c>
      <c r="U1131" s="2">
        <v>0</v>
      </c>
      <c r="V1131" s="2">
        <v>0</v>
      </c>
      <c r="W1131" s="2">
        <v>2</v>
      </c>
      <c r="X1131" s="2" t="s">
        <v>2842</v>
      </c>
      <c r="Y1131" s="2">
        <v>0</v>
      </c>
      <c r="Z1131" s="2">
        <v>2</v>
      </c>
      <c r="AA1131" s="2">
        <v>1</v>
      </c>
      <c r="AB1131" s="2">
        <v>2</v>
      </c>
      <c r="AC1131" s="2">
        <v>1</v>
      </c>
      <c r="AD1131" s="2">
        <v>1</v>
      </c>
      <c r="AE1131" s="2" t="s">
        <v>0</v>
      </c>
      <c r="AF1131" s="2">
        <v>2</v>
      </c>
      <c r="AG1131" s="2" t="s">
        <v>49</v>
      </c>
    </row>
    <row r="1132" spans="1:33" ht="63.75" x14ac:dyDescent="0.2">
      <c r="A1132" s="5" t="str">
        <f>HYPERLINK("http://www.patentics.cn/invokexml.do?sf=ShowPatent&amp;spn=US8811345&amp;sv=2e91d16614e9ec73e68884b5274f2abe","US8811345")</f>
        <v>US8811345</v>
      </c>
      <c r="B1132" s="3" t="s">
        <v>2801</v>
      </c>
      <c r="C1132" s="3" t="s">
        <v>2802</v>
      </c>
      <c r="D1132" s="3" t="s">
        <v>52</v>
      </c>
      <c r="E1132" s="3" t="s">
        <v>52</v>
      </c>
      <c r="F1132" s="3" t="s">
        <v>1457</v>
      </c>
      <c r="G1132" s="3" t="s">
        <v>1458</v>
      </c>
      <c r="H1132" s="3" t="s">
        <v>2549</v>
      </c>
      <c r="I1132" s="3" t="s">
        <v>2176</v>
      </c>
      <c r="J1132" s="3" t="s">
        <v>798</v>
      </c>
      <c r="K1132" s="3" t="s">
        <v>82</v>
      </c>
      <c r="L1132" s="3" t="s">
        <v>83</v>
      </c>
      <c r="M1132" s="3" t="s">
        <v>82</v>
      </c>
      <c r="N1132" s="3" t="s">
        <v>1423</v>
      </c>
      <c r="O1132" s="3">
        <v>0</v>
      </c>
      <c r="P1132" s="3">
        <v>13</v>
      </c>
      <c r="Q1132" s="3" t="s">
        <v>60</v>
      </c>
      <c r="R1132" s="3" t="s">
        <v>61</v>
      </c>
      <c r="S1132" s="3">
        <v>17</v>
      </c>
      <c r="T1132" s="3">
        <v>1</v>
      </c>
      <c r="U1132" s="3">
        <v>16</v>
      </c>
      <c r="V1132" s="3">
        <v>11</v>
      </c>
      <c r="W1132" s="3">
        <v>0</v>
      </c>
      <c r="X1132" s="3" t="s">
        <v>147</v>
      </c>
      <c r="Y1132" s="3">
        <v>0</v>
      </c>
      <c r="Z1132" s="3">
        <v>0</v>
      </c>
      <c r="AA1132" s="3">
        <v>0</v>
      </c>
      <c r="AB1132" s="3">
        <v>0</v>
      </c>
      <c r="AC1132" s="3">
        <v>4</v>
      </c>
      <c r="AD1132" s="3">
        <v>4</v>
      </c>
      <c r="AE1132" s="3">
        <v>14</v>
      </c>
      <c r="AF1132" s="3" t="s">
        <v>0</v>
      </c>
      <c r="AG1132" s="3" t="s">
        <v>49</v>
      </c>
    </row>
    <row r="1133" spans="1:33" ht="25.5" x14ac:dyDescent="0.2">
      <c r="A1133" s="5" t="str">
        <f>HYPERLINK("http://www.patentics.cn/invokexml.do?sf=ShowPatent&amp;spn=CN102132621B&amp;sv=f0721087d14a42d3fbb2a5781e735ca4","CN102132621B")</f>
        <v>CN102132621B</v>
      </c>
      <c r="B1133" s="3" t="s">
        <v>5240</v>
      </c>
      <c r="C1133" s="3" t="s">
        <v>5241</v>
      </c>
      <c r="D1133" s="3" t="s">
        <v>338</v>
      </c>
      <c r="E1133" s="3" t="s">
        <v>338</v>
      </c>
      <c r="F1133" s="3" t="s">
        <v>4119</v>
      </c>
      <c r="G1133" s="3" t="s">
        <v>4120</v>
      </c>
      <c r="H1133" s="3" t="s">
        <v>2549</v>
      </c>
      <c r="I1133" s="3" t="s">
        <v>2176</v>
      </c>
      <c r="J1133" s="3" t="s">
        <v>4723</v>
      </c>
      <c r="K1133" s="3" t="s">
        <v>82</v>
      </c>
      <c r="L1133" s="3" t="s">
        <v>1310</v>
      </c>
      <c r="M1133" s="3" t="s">
        <v>0</v>
      </c>
      <c r="N1133" s="3" t="s">
        <v>0</v>
      </c>
      <c r="O1133" s="3">
        <v>44</v>
      </c>
      <c r="P1133" s="3">
        <v>14</v>
      </c>
      <c r="Q1133" s="3" t="s">
        <v>60</v>
      </c>
      <c r="R1133" s="3" t="s">
        <v>61</v>
      </c>
      <c r="S1133" s="3">
        <v>2</v>
      </c>
      <c r="T1133" s="3">
        <v>0</v>
      </c>
      <c r="U1133" s="3">
        <v>2</v>
      </c>
      <c r="V1133" s="3">
        <v>2</v>
      </c>
      <c r="W1133" s="3">
        <v>0</v>
      </c>
      <c r="X1133" s="3" t="s">
        <v>147</v>
      </c>
      <c r="Y1133" s="3">
        <v>0</v>
      </c>
      <c r="Z1133" s="3">
        <v>0</v>
      </c>
      <c r="AA1133" s="3">
        <v>0</v>
      </c>
      <c r="AB1133" s="3">
        <v>0</v>
      </c>
      <c r="AC1133" s="3">
        <v>0</v>
      </c>
      <c r="AD1133" s="3">
        <v>0</v>
      </c>
      <c r="AE1133" s="3">
        <v>14</v>
      </c>
      <c r="AF1133" s="3" t="s">
        <v>0</v>
      </c>
      <c r="AG1133" s="3" t="s">
        <v>49</v>
      </c>
    </row>
    <row r="1134" spans="1:33" ht="38.25" x14ac:dyDescent="0.2">
      <c r="A1134" s="4" t="str">
        <f>HYPERLINK("http://www.patentics.cn/invokexml.do?sf=ShowPatent&amp;spn=CN101534285&amp;sv=e610773f98fa37fd9d7be491b6a3d8db","CN101534285")</f>
        <v>CN101534285</v>
      </c>
      <c r="B1134" s="2" t="s">
        <v>5242</v>
      </c>
      <c r="C1134" s="2" t="s">
        <v>5243</v>
      </c>
      <c r="D1134" s="2" t="s">
        <v>38</v>
      </c>
      <c r="E1134" s="2" t="s">
        <v>38</v>
      </c>
      <c r="F1134" s="2" t="s">
        <v>5244</v>
      </c>
      <c r="G1134" s="2" t="s">
        <v>2491</v>
      </c>
      <c r="H1134" s="2" t="s">
        <v>0</v>
      </c>
      <c r="I1134" s="2" t="s">
        <v>5245</v>
      </c>
      <c r="J1134" s="2" t="s">
        <v>1018</v>
      </c>
      <c r="K1134" s="2" t="s">
        <v>58</v>
      </c>
      <c r="L1134" s="2" t="s">
        <v>326</v>
      </c>
      <c r="M1134" s="2" t="s">
        <v>0</v>
      </c>
      <c r="N1134" s="2" t="s">
        <v>0</v>
      </c>
      <c r="O1134" s="2">
        <v>10</v>
      </c>
      <c r="P1134" s="2">
        <v>8</v>
      </c>
      <c r="Q1134" s="2" t="s">
        <v>46</v>
      </c>
      <c r="R1134" s="2" t="s">
        <v>47</v>
      </c>
      <c r="S1134" s="2">
        <v>0</v>
      </c>
      <c r="T1134" s="2">
        <v>0</v>
      </c>
      <c r="U1134" s="2">
        <v>0</v>
      </c>
      <c r="V1134" s="2">
        <v>0</v>
      </c>
      <c r="W1134" s="2">
        <v>13</v>
      </c>
      <c r="X1134" s="2" t="s">
        <v>5246</v>
      </c>
      <c r="Y1134" s="2">
        <v>6</v>
      </c>
      <c r="Z1134" s="2">
        <v>7</v>
      </c>
      <c r="AA1134" s="2">
        <v>6</v>
      </c>
      <c r="AB1134" s="2">
        <v>3</v>
      </c>
      <c r="AC1134" s="2">
        <v>0</v>
      </c>
      <c r="AD1134" s="2">
        <v>0</v>
      </c>
      <c r="AE1134" s="2" t="s">
        <v>0</v>
      </c>
      <c r="AF1134" s="2">
        <v>2</v>
      </c>
      <c r="AG1134" s="2" t="s">
        <v>49</v>
      </c>
    </row>
    <row r="1135" spans="1:33" ht="51" x14ac:dyDescent="0.2">
      <c r="A1135" s="5" t="str">
        <f>HYPERLINK("http://www.patentics.cn/invokexml.do?sf=ShowPatent&amp;spn=US8989174&amp;sv=5a4fb007ae0625c1698dd4cf9b7917ce","US8989174")</f>
        <v>US8989174</v>
      </c>
      <c r="B1135" s="3" t="s">
        <v>5247</v>
      </c>
      <c r="C1135" s="3" t="s">
        <v>5248</v>
      </c>
      <c r="D1135" s="3" t="s">
        <v>52</v>
      </c>
      <c r="E1135" s="3" t="s">
        <v>52</v>
      </c>
      <c r="F1135" s="3" t="s">
        <v>5249</v>
      </c>
      <c r="G1135" s="3" t="s">
        <v>949</v>
      </c>
      <c r="H1135" s="3" t="s">
        <v>5250</v>
      </c>
      <c r="I1135" s="3" t="s">
        <v>5251</v>
      </c>
      <c r="J1135" s="3" t="s">
        <v>812</v>
      </c>
      <c r="K1135" s="3" t="s">
        <v>82</v>
      </c>
      <c r="L1135" s="3" t="s">
        <v>2789</v>
      </c>
      <c r="M1135" s="3" t="s">
        <v>82</v>
      </c>
      <c r="N1135" s="3" t="s">
        <v>2027</v>
      </c>
      <c r="O1135" s="3">
        <v>0</v>
      </c>
      <c r="P1135" s="3">
        <v>19</v>
      </c>
      <c r="Q1135" s="3" t="s">
        <v>60</v>
      </c>
      <c r="R1135" s="3" t="s">
        <v>61</v>
      </c>
      <c r="S1135" s="3">
        <v>14</v>
      </c>
      <c r="T1135" s="3">
        <v>1</v>
      </c>
      <c r="U1135" s="3">
        <v>13</v>
      </c>
      <c r="V1135" s="3">
        <v>7</v>
      </c>
      <c r="W1135" s="3">
        <v>8</v>
      </c>
      <c r="X1135" s="3" t="s">
        <v>147</v>
      </c>
      <c r="Y1135" s="3">
        <v>0</v>
      </c>
      <c r="Z1135" s="3">
        <v>8</v>
      </c>
      <c r="AA1135" s="3">
        <v>0</v>
      </c>
      <c r="AB1135" s="3">
        <v>1</v>
      </c>
      <c r="AC1135" s="3">
        <v>12</v>
      </c>
      <c r="AD1135" s="3">
        <v>8</v>
      </c>
      <c r="AE1135" s="3">
        <v>14</v>
      </c>
      <c r="AF1135" s="3" t="s">
        <v>0</v>
      </c>
      <c r="AG1135" s="3" t="s">
        <v>49</v>
      </c>
    </row>
    <row r="1136" spans="1:33" ht="38.25" x14ac:dyDescent="0.2">
      <c r="A1136" s="5" t="str">
        <f>HYPERLINK("http://www.patentics.cn/invokexml.do?sf=ShowPatent&amp;spn=CN102577520B&amp;sv=c86a0784790ff447cdb54403ed0e02f2","CN102577520B")</f>
        <v>CN102577520B</v>
      </c>
      <c r="B1136" s="3" t="s">
        <v>5252</v>
      </c>
      <c r="C1136" s="3" t="s">
        <v>5253</v>
      </c>
      <c r="D1136" s="3" t="s">
        <v>338</v>
      </c>
      <c r="E1136" s="3" t="s">
        <v>338</v>
      </c>
      <c r="F1136" s="3" t="s">
        <v>5254</v>
      </c>
      <c r="G1136" s="3" t="s">
        <v>5255</v>
      </c>
      <c r="H1136" s="3" t="s">
        <v>5250</v>
      </c>
      <c r="I1136" s="3" t="s">
        <v>5256</v>
      </c>
      <c r="J1136" s="3" t="s">
        <v>5257</v>
      </c>
      <c r="K1136" s="3" t="s">
        <v>82</v>
      </c>
      <c r="L1136" s="3" t="s">
        <v>2789</v>
      </c>
      <c r="M1136" s="3" t="s">
        <v>0</v>
      </c>
      <c r="N1136" s="3" t="s">
        <v>0</v>
      </c>
      <c r="O1136" s="3">
        <v>30</v>
      </c>
      <c r="P1136" s="3">
        <v>20</v>
      </c>
      <c r="Q1136" s="3" t="s">
        <v>60</v>
      </c>
      <c r="R1136" s="3" t="s">
        <v>61</v>
      </c>
      <c r="S1136" s="3">
        <v>2</v>
      </c>
      <c r="T1136" s="3">
        <v>0</v>
      </c>
      <c r="U1136" s="3">
        <v>2</v>
      </c>
      <c r="V1136" s="3">
        <v>2</v>
      </c>
      <c r="W1136" s="3">
        <v>8</v>
      </c>
      <c r="X1136" s="3" t="s">
        <v>147</v>
      </c>
      <c r="Y1136" s="3">
        <v>0</v>
      </c>
      <c r="Z1136" s="3">
        <v>8</v>
      </c>
      <c r="AA1136" s="3">
        <v>0</v>
      </c>
      <c r="AB1136" s="3">
        <v>1</v>
      </c>
      <c r="AC1136" s="3">
        <v>0</v>
      </c>
      <c r="AD1136" s="3">
        <v>0</v>
      </c>
      <c r="AE1136" s="3">
        <v>14</v>
      </c>
      <c r="AF1136" s="3" t="s">
        <v>0</v>
      </c>
      <c r="AG1136" s="3" t="s">
        <v>49</v>
      </c>
    </row>
    <row r="1137" spans="1:33" ht="25.5" x14ac:dyDescent="0.2">
      <c r="A1137" s="4" t="str">
        <f>HYPERLINK("http://www.patentics.cn/invokexml.do?sf=ShowPatent&amp;spn=CN101500298&amp;sv=eb8865cd2a22f33ed224d90cd6b3f5ab","CN101500298")</f>
        <v>CN101500298</v>
      </c>
      <c r="B1137" s="2" t="s">
        <v>5258</v>
      </c>
      <c r="C1137" s="2" t="s">
        <v>5259</v>
      </c>
      <c r="D1137" s="2" t="s">
        <v>38</v>
      </c>
      <c r="E1137" s="2" t="s">
        <v>38</v>
      </c>
      <c r="F1137" s="2" t="s">
        <v>5260</v>
      </c>
      <c r="G1137" s="2" t="s">
        <v>5261</v>
      </c>
      <c r="H1137" s="2" t="s">
        <v>3074</v>
      </c>
      <c r="I1137" s="2" t="s">
        <v>3074</v>
      </c>
      <c r="J1137" s="2" t="s">
        <v>1036</v>
      </c>
      <c r="K1137" s="2" t="s">
        <v>82</v>
      </c>
      <c r="L1137" s="2" t="s">
        <v>516</v>
      </c>
      <c r="M1137" s="2" t="s">
        <v>0</v>
      </c>
      <c r="N1137" s="2" t="s">
        <v>0</v>
      </c>
      <c r="O1137" s="2">
        <v>11</v>
      </c>
      <c r="P1137" s="2">
        <v>11</v>
      </c>
      <c r="Q1137" s="2" t="s">
        <v>46</v>
      </c>
      <c r="R1137" s="2" t="s">
        <v>47</v>
      </c>
      <c r="S1137" s="2">
        <v>1</v>
      </c>
      <c r="T1137" s="2">
        <v>0</v>
      </c>
      <c r="U1137" s="2">
        <v>1</v>
      </c>
      <c r="V1137" s="2">
        <v>1</v>
      </c>
      <c r="W1137" s="2">
        <v>2</v>
      </c>
      <c r="X1137" s="2" t="s">
        <v>378</v>
      </c>
      <c r="Y1137" s="2">
        <v>0</v>
      </c>
      <c r="Z1137" s="2">
        <v>2</v>
      </c>
      <c r="AA1137" s="2">
        <v>1</v>
      </c>
      <c r="AB1137" s="2">
        <v>1</v>
      </c>
      <c r="AC1137" s="2">
        <v>1</v>
      </c>
      <c r="AD1137" s="2">
        <v>1</v>
      </c>
      <c r="AE1137" s="2" t="s">
        <v>0</v>
      </c>
      <c r="AF1137" s="2">
        <v>2</v>
      </c>
      <c r="AG1137" s="2" t="s">
        <v>49</v>
      </c>
    </row>
    <row r="1138" spans="1:33" ht="114.75" x14ac:dyDescent="0.2">
      <c r="A1138" s="5" t="str">
        <f>HYPERLINK("http://www.patentics.cn/invokexml.do?sf=ShowPatent&amp;spn=US8965455&amp;sv=c6487c68552ea38aba7916c83c796617","US8965455")</f>
        <v>US8965455</v>
      </c>
      <c r="B1138" s="3" t="s">
        <v>5262</v>
      </c>
      <c r="C1138" s="3" t="s">
        <v>5263</v>
      </c>
      <c r="D1138" s="3" t="s">
        <v>52</v>
      </c>
      <c r="E1138" s="3" t="s">
        <v>52</v>
      </c>
      <c r="F1138" s="3" t="s">
        <v>5264</v>
      </c>
      <c r="G1138" s="3" t="s">
        <v>5265</v>
      </c>
      <c r="H1138" s="3" t="s">
        <v>5266</v>
      </c>
      <c r="I1138" s="3" t="s">
        <v>604</v>
      </c>
      <c r="J1138" s="3" t="s">
        <v>805</v>
      </c>
      <c r="K1138" s="3" t="s">
        <v>82</v>
      </c>
      <c r="L1138" s="3" t="s">
        <v>516</v>
      </c>
      <c r="M1138" s="3" t="s">
        <v>82</v>
      </c>
      <c r="N1138" s="3" t="s">
        <v>5267</v>
      </c>
      <c r="O1138" s="3">
        <v>0</v>
      </c>
      <c r="P1138" s="3">
        <v>6</v>
      </c>
      <c r="Q1138" s="3" t="s">
        <v>60</v>
      </c>
      <c r="R1138" s="3" t="s">
        <v>61</v>
      </c>
      <c r="S1138" s="3">
        <v>13</v>
      </c>
      <c r="T1138" s="3">
        <v>5</v>
      </c>
      <c r="U1138" s="3">
        <v>8</v>
      </c>
      <c r="V1138" s="3">
        <v>8</v>
      </c>
      <c r="W1138" s="3">
        <v>0</v>
      </c>
      <c r="X1138" s="3" t="s">
        <v>147</v>
      </c>
      <c r="Y1138" s="3">
        <v>0</v>
      </c>
      <c r="Z1138" s="3">
        <v>0</v>
      </c>
      <c r="AA1138" s="3">
        <v>0</v>
      </c>
      <c r="AB1138" s="3">
        <v>0</v>
      </c>
      <c r="AC1138" s="3">
        <v>14</v>
      </c>
      <c r="AD1138" s="3">
        <v>7</v>
      </c>
      <c r="AE1138" s="3">
        <v>14</v>
      </c>
      <c r="AF1138" s="3" t="s">
        <v>0</v>
      </c>
      <c r="AG1138" s="3" t="s">
        <v>49</v>
      </c>
    </row>
    <row r="1139" spans="1:33" ht="114.75" x14ac:dyDescent="0.2">
      <c r="A1139" s="5" t="str">
        <f>HYPERLINK("http://www.patentics.cn/invokexml.do?sf=ShowPatent&amp;spn=US9161300&amp;sv=519825f66946fb0070d0bd46600e5da8","US9161300")</f>
        <v>US9161300</v>
      </c>
      <c r="B1139" s="3" t="s">
        <v>5268</v>
      </c>
      <c r="C1139" s="3" t="s">
        <v>5269</v>
      </c>
      <c r="D1139" s="3" t="s">
        <v>52</v>
      </c>
      <c r="E1139" s="3" t="s">
        <v>52</v>
      </c>
      <c r="F1139" s="3" t="s">
        <v>5264</v>
      </c>
      <c r="G1139" s="3" t="s">
        <v>5265</v>
      </c>
      <c r="H1139" s="3" t="s">
        <v>5266</v>
      </c>
      <c r="I1139" s="3" t="s">
        <v>5270</v>
      </c>
      <c r="J1139" s="3" t="s">
        <v>830</v>
      </c>
      <c r="K1139" s="3" t="s">
        <v>82</v>
      </c>
      <c r="L1139" s="3" t="s">
        <v>516</v>
      </c>
      <c r="M1139" s="3" t="s">
        <v>82</v>
      </c>
      <c r="N1139" s="3" t="s">
        <v>5267</v>
      </c>
      <c r="O1139" s="3">
        <v>0</v>
      </c>
      <c r="P1139" s="3">
        <v>11</v>
      </c>
      <c r="Q1139" s="3" t="s">
        <v>60</v>
      </c>
      <c r="R1139" s="3" t="s">
        <v>61</v>
      </c>
      <c r="S1139" s="3">
        <v>19</v>
      </c>
      <c r="T1139" s="3">
        <v>8</v>
      </c>
      <c r="U1139" s="3">
        <v>11</v>
      </c>
      <c r="V1139" s="3">
        <v>10</v>
      </c>
      <c r="W1139" s="3">
        <v>0</v>
      </c>
      <c r="X1139" s="3" t="s">
        <v>147</v>
      </c>
      <c r="Y1139" s="3">
        <v>0</v>
      </c>
      <c r="Z1139" s="3">
        <v>0</v>
      </c>
      <c r="AA1139" s="3">
        <v>0</v>
      </c>
      <c r="AB1139" s="3">
        <v>0</v>
      </c>
      <c r="AC1139" s="3">
        <v>14</v>
      </c>
      <c r="AD1139" s="3">
        <v>7</v>
      </c>
      <c r="AE1139" s="3">
        <v>14</v>
      </c>
      <c r="AF1139" s="3" t="s">
        <v>0</v>
      </c>
      <c r="AG1139" s="3" t="s">
        <v>49</v>
      </c>
    </row>
    <row r="1140" spans="1:33" ht="51" x14ac:dyDescent="0.2">
      <c r="A1140" s="4" t="str">
        <f>HYPERLINK("http://www.patentics.cn/invokexml.do?sf=ShowPatent&amp;spn=CN101478379&amp;sv=5d7044105e8ba223e235e4c7642c328c","CN101478379")</f>
        <v>CN101478379</v>
      </c>
      <c r="B1140" s="2" t="s">
        <v>5271</v>
      </c>
      <c r="C1140" s="2" t="s">
        <v>5272</v>
      </c>
      <c r="D1140" s="2" t="s">
        <v>38</v>
      </c>
      <c r="E1140" s="2" t="s">
        <v>38</v>
      </c>
      <c r="F1140" s="2" t="s">
        <v>5273</v>
      </c>
      <c r="G1140" s="2" t="s">
        <v>5274</v>
      </c>
      <c r="H1140" s="2" t="s">
        <v>0</v>
      </c>
      <c r="I1140" s="2" t="s">
        <v>5275</v>
      </c>
      <c r="J1140" s="2" t="s">
        <v>2456</v>
      </c>
      <c r="K1140" s="2" t="s">
        <v>58</v>
      </c>
      <c r="L1140" s="2" t="s">
        <v>2734</v>
      </c>
      <c r="M1140" s="2" t="s">
        <v>0</v>
      </c>
      <c r="N1140" s="2" t="s">
        <v>0</v>
      </c>
      <c r="O1140" s="2">
        <v>12</v>
      </c>
      <c r="P1140" s="2">
        <v>17</v>
      </c>
      <c r="Q1140" s="2" t="s">
        <v>46</v>
      </c>
      <c r="R1140" s="2" t="s">
        <v>47</v>
      </c>
      <c r="S1140" s="2">
        <v>0</v>
      </c>
      <c r="T1140" s="2">
        <v>0</v>
      </c>
      <c r="U1140" s="2">
        <v>0</v>
      </c>
      <c r="V1140" s="2">
        <v>0</v>
      </c>
      <c r="W1140" s="2">
        <v>28</v>
      </c>
      <c r="X1140" s="2" t="s">
        <v>5276</v>
      </c>
      <c r="Y1140" s="2">
        <v>6</v>
      </c>
      <c r="Z1140" s="2">
        <v>22</v>
      </c>
      <c r="AA1140" s="2">
        <v>8</v>
      </c>
      <c r="AB1140" s="2">
        <v>4</v>
      </c>
      <c r="AC1140" s="2">
        <v>0</v>
      </c>
      <c r="AD1140" s="2">
        <v>0</v>
      </c>
      <c r="AE1140" s="2" t="s">
        <v>0</v>
      </c>
      <c r="AF1140" s="2">
        <v>2</v>
      </c>
      <c r="AG1140" s="2" t="s">
        <v>2523</v>
      </c>
    </row>
    <row r="1141" spans="1:33" ht="76.5" x14ac:dyDescent="0.2">
      <c r="A1141" s="5" t="str">
        <f>HYPERLINK("http://www.patentics.cn/invokexml.do?sf=ShowPatent&amp;spn=US9553697&amp;sv=32d92443671e4fd78d8f0f5cfd46dec6","US9553697")</f>
        <v>US9553697</v>
      </c>
      <c r="B1141" s="3" t="s">
        <v>5277</v>
      </c>
      <c r="C1141" s="3" t="s">
        <v>5278</v>
      </c>
      <c r="D1141" s="3" t="s">
        <v>52</v>
      </c>
      <c r="E1141" s="3" t="s">
        <v>52</v>
      </c>
      <c r="F1141" s="3" t="s">
        <v>4767</v>
      </c>
      <c r="G1141" s="3" t="s">
        <v>1091</v>
      </c>
      <c r="H1141" s="3" t="s">
        <v>1459</v>
      </c>
      <c r="I1141" s="3" t="s">
        <v>5279</v>
      </c>
      <c r="J1141" s="3" t="s">
        <v>5280</v>
      </c>
      <c r="K1141" s="3" t="s">
        <v>58</v>
      </c>
      <c r="L1141" s="3" t="s">
        <v>1980</v>
      </c>
      <c r="M1141" s="3" t="s">
        <v>58</v>
      </c>
      <c r="N1141" s="3" t="s">
        <v>4879</v>
      </c>
      <c r="O1141" s="3">
        <v>0</v>
      </c>
      <c r="P1141" s="3">
        <v>19</v>
      </c>
      <c r="Q1141" s="3" t="s">
        <v>60</v>
      </c>
      <c r="R1141" s="3" t="s">
        <v>61</v>
      </c>
      <c r="S1141" s="3">
        <v>24</v>
      </c>
      <c r="T1141" s="3">
        <v>3</v>
      </c>
      <c r="U1141" s="3">
        <v>21</v>
      </c>
      <c r="V1141" s="3">
        <v>10</v>
      </c>
      <c r="W1141" s="3">
        <v>0</v>
      </c>
      <c r="X1141" s="3" t="s">
        <v>147</v>
      </c>
      <c r="Y1141" s="3">
        <v>0</v>
      </c>
      <c r="Z1141" s="3">
        <v>0</v>
      </c>
      <c r="AA1141" s="3">
        <v>0</v>
      </c>
      <c r="AB1141" s="3">
        <v>0</v>
      </c>
      <c r="AC1141" s="3">
        <v>9</v>
      </c>
      <c r="AD1141" s="3">
        <v>6</v>
      </c>
      <c r="AE1141" s="3">
        <v>14</v>
      </c>
      <c r="AF1141" s="3" t="s">
        <v>0</v>
      </c>
      <c r="AG1141" s="3" t="s">
        <v>49</v>
      </c>
    </row>
    <row r="1142" spans="1:33" ht="51" x14ac:dyDescent="0.2">
      <c r="A1142" s="5" t="str">
        <f>HYPERLINK("http://www.patentics.cn/invokexml.do?sf=ShowPatent&amp;spn=CN102823180B&amp;sv=bfa14e77152d10486ce2f10bf8b7e06d","CN102823180B")</f>
        <v>CN102823180B</v>
      </c>
      <c r="B1142" s="3" t="s">
        <v>5281</v>
      </c>
      <c r="C1142" s="3" t="s">
        <v>5282</v>
      </c>
      <c r="D1142" s="3" t="s">
        <v>338</v>
      </c>
      <c r="E1142" s="3" t="s">
        <v>338</v>
      </c>
      <c r="F1142" s="3" t="s">
        <v>5283</v>
      </c>
      <c r="G1142" s="3" t="s">
        <v>1190</v>
      </c>
      <c r="H1142" s="3" t="s">
        <v>1459</v>
      </c>
      <c r="I1142" s="3" t="s">
        <v>5284</v>
      </c>
      <c r="J1142" s="3" t="s">
        <v>5285</v>
      </c>
      <c r="K1142" s="3" t="s">
        <v>58</v>
      </c>
      <c r="L1142" s="3" t="s">
        <v>2734</v>
      </c>
      <c r="M1142" s="3" t="s">
        <v>0</v>
      </c>
      <c r="N1142" s="3" t="s">
        <v>0</v>
      </c>
      <c r="O1142" s="3">
        <v>47</v>
      </c>
      <c r="P1142" s="3">
        <v>18</v>
      </c>
      <c r="Q1142" s="3" t="s">
        <v>60</v>
      </c>
      <c r="R1142" s="3" t="s">
        <v>61</v>
      </c>
      <c r="S1142" s="3">
        <v>2</v>
      </c>
      <c r="T1142" s="3">
        <v>0</v>
      </c>
      <c r="U1142" s="3">
        <v>2</v>
      </c>
      <c r="V1142" s="3">
        <v>2</v>
      </c>
      <c r="W1142" s="3">
        <v>0</v>
      </c>
      <c r="X1142" s="3" t="s">
        <v>147</v>
      </c>
      <c r="Y1142" s="3">
        <v>0</v>
      </c>
      <c r="Z1142" s="3">
        <v>0</v>
      </c>
      <c r="AA1142" s="3">
        <v>0</v>
      </c>
      <c r="AB1142" s="3">
        <v>0</v>
      </c>
      <c r="AC1142" s="3">
        <v>9</v>
      </c>
      <c r="AD1142" s="3">
        <v>6</v>
      </c>
      <c r="AE1142" s="3">
        <v>14</v>
      </c>
      <c r="AF1142" s="3" t="s">
        <v>0</v>
      </c>
      <c r="AG1142" s="3" t="s">
        <v>49</v>
      </c>
    </row>
    <row r="1143" spans="1:33" ht="25.5" x14ac:dyDescent="0.2">
      <c r="A1143" s="4" t="str">
        <f>HYPERLINK("http://www.patentics.cn/invokexml.do?sf=ShowPatent&amp;spn=CN101478824&amp;sv=ef009dd77d5cf4f5adde801c710b9a09","CN101478824")</f>
        <v>CN101478824</v>
      </c>
      <c r="B1143" s="2" t="s">
        <v>5286</v>
      </c>
      <c r="C1143" s="2" t="s">
        <v>5287</v>
      </c>
      <c r="D1143" s="2" t="s">
        <v>38</v>
      </c>
      <c r="E1143" s="2" t="s">
        <v>38</v>
      </c>
      <c r="F1143" s="2" t="s">
        <v>5288</v>
      </c>
      <c r="G1143" s="2" t="s">
        <v>5289</v>
      </c>
      <c r="H1143" s="2" t="s">
        <v>0</v>
      </c>
      <c r="I1143" s="2" t="s">
        <v>5290</v>
      </c>
      <c r="J1143" s="2" t="s">
        <v>2456</v>
      </c>
      <c r="K1143" s="2" t="s">
        <v>82</v>
      </c>
      <c r="L1143" s="2" t="s">
        <v>244</v>
      </c>
      <c r="M1143" s="2" t="s">
        <v>0</v>
      </c>
      <c r="N1143" s="2" t="s">
        <v>0</v>
      </c>
      <c r="O1143" s="2">
        <v>12</v>
      </c>
      <c r="P1143" s="2">
        <v>18</v>
      </c>
      <c r="Q1143" s="2" t="s">
        <v>46</v>
      </c>
      <c r="R1143" s="2" t="s">
        <v>47</v>
      </c>
      <c r="S1143" s="2">
        <v>0</v>
      </c>
      <c r="T1143" s="2">
        <v>0</v>
      </c>
      <c r="U1143" s="2">
        <v>0</v>
      </c>
      <c r="V1143" s="2">
        <v>0</v>
      </c>
      <c r="W1143" s="2">
        <v>19</v>
      </c>
      <c r="X1143" s="2" t="s">
        <v>5291</v>
      </c>
      <c r="Y1143" s="2">
        <v>1</v>
      </c>
      <c r="Z1143" s="2">
        <v>18</v>
      </c>
      <c r="AA1143" s="2">
        <v>11</v>
      </c>
      <c r="AB1143" s="2">
        <v>3</v>
      </c>
      <c r="AC1143" s="2">
        <v>0</v>
      </c>
      <c r="AD1143" s="2">
        <v>0</v>
      </c>
      <c r="AE1143" s="2" t="s">
        <v>0</v>
      </c>
      <c r="AF1143" s="2">
        <v>2</v>
      </c>
      <c r="AG1143" s="2" t="s">
        <v>49</v>
      </c>
    </row>
    <row r="1144" spans="1:33" ht="102" x14ac:dyDescent="0.2">
      <c r="A1144" s="5" t="str">
        <f>HYPERLINK("http://www.patentics.cn/invokexml.do?sf=ShowPatent&amp;spn=US8917593&amp;sv=ccea67b97cf9723a762b5809c952eaf2","US8917593")</f>
        <v>US8917593</v>
      </c>
      <c r="B1144" s="3" t="s">
        <v>5292</v>
      </c>
      <c r="C1144" s="3" t="s">
        <v>5293</v>
      </c>
      <c r="D1144" s="3" t="s">
        <v>52</v>
      </c>
      <c r="E1144" s="3" t="s">
        <v>52</v>
      </c>
      <c r="F1144" s="3" t="s">
        <v>5294</v>
      </c>
      <c r="G1144" s="3" t="s">
        <v>5105</v>
      </c>
      <c r="H1144" s="3" t="s">
        <v>3079</v>
      </c>
      <c r="I1144" s="3" t="s">
        <v>2452</v>
      </c>
      <c r="J1144" s="3" t="s">
        <v>203</v>
      </c>
      <c r="K1144" s="3" t="s">
        <v>58</v>
      </c>
      <c r="L1144" s="3" t="s">
        <v>763</v>
      </c>
      <c r="M1144" s="3" t="s">
        <v>82</v>
      </c>
      <c r="N1144" s="3" t="s">
        <v>5295</v>
      </c>
      <c r="O1144" s="3">
        <v>0</v>
      </c>
      <c r="P1144" s="3">
        <v>16</v>
      </c>
      <c r="Q1144" s="3" t="s">
        <v>60</v>
      </c>
      <c r="R1144" s="3" t="s">
        <v>61</v>
      </c>
      <c r="S1144" s="3">
        <v>8</v>
      </c>
      <c r="T1144" s="3">
        <v>2</v>
      </c>
      <c r="U1144" s="3">
        <v>6</v>
      </c>
      <c r="V1144" s="3">
        <v>4</v>
      </c>
      <c r="W1144" s="3">
        <v>19</v>
      </c>
      <c r="X1144" s="3" t="s">
        <v>4891</v>
      </c>
      <c r="Y1144" s="3">
        <v>0</v>
      </c>
      <c r="Z1144" s="3">
        <v>19</v>
      </c>
      <c r="AA1144" s="3">
        <v>4</v>
      </c>
      <c r="AB1144" s="3">
        <v>2</v>
      </c>
      <c r="AC1144" s="3">
        <v>8</v>
      </c>
      <c r="AD1144" s="3">
        <v>7</v>
      </c>
      <c r="AE1144" s="3">
        <v>14</v>
      </c>
      <c r="AF1144" s="3" t="s">
        <v>0</v>
      </c>
      <c r="AG1144" s="3" t="s">
        <v>49</v>
      </c>
    </row>
    <row r="1145" spans="1:33" ht="76.5" x14ac:dyDescent="0.2">
      <c r="A1145" s="5" t="str">
        <f>HYPERLINK("http://www.patentics.cn/invokexml.do?sf=ShowPatent&amp;spn=CN102804901B&amp;sv=da749ce73dafcad0d043d4f75fe72773","CN102804901B")</f>
        <v>CN102804901B</v>
      </c>
      <c r="B1145" s="3" t="s">
        <v>5296</v>
      </c>
      <c r="C1145" s="3" t="s">
        <v>5297</v>
      </c>
      <c r="D1145" s="3" t="s">
        <v>338</v>
      </c>
      <c r="E1145" s="3" t="s">
        <v>338</v>
      </c>
      <c r="F1145" s="3" t="s">
        <v>5298</v>
      </c>
      <c r="G1145" s="3" t="s">
        <v>5109</v>
      </c>
      <c r="H1145" s="3" t="s">
        <v>3079</v>
      </c>
      <c r="I1145" s="3" t="s">
        <v>1390</v>
      </c>
      <c r="J1145" s="3" t="s">
        <v>5299</v>
      </c>
      <c r="K1145" s="3" t="s">
        <v>82</v>
      </c>
      <c r="L1145" s="3" t="s">
        <v>1310</v>
      </c>
      <c r="M1145" s="3" t="s">
        <v>0</v>
      </c>
      <c r="N1145" s="3" t="s">
        <v>0</v>
      </c>
      <c r="O1145" s="3">
        <v>60</v>
      </c>
      <c r="P1145" s="3">
        <v>17</v>
      </c>
      <c r="Q1145" s="3" t="s">
        <v>60</v>
      </c>
      <c r="R1145" s="3" t="s">
        <v>61</v>
      </c>
      <c r="S1145" s="3">
        <v>2</v>
      </c>
      <c r="T1145" s="3">
        <v>0</v>
      </c>
      <c r="U1145" s="3">
        <v>2</v>
      </c>
      <c r="V1145" s="3">
        <v>2</v>
      </c>
      <c r="W1145" s="3">
        <v>14</v>
      </c>
      <c r="X1145" s="3" t="s">
        <v>147</v>
      </c>
      <c r="Y1145" s="3">
        <v>0</v>
      </c>
      <c r="Z1145" s="3">
        <v>14</v>
      </c>
      <c r="AA1145" s="3">
        <v>0</v>
      </c>
      <c r="AB1145" s="3">
        <v>1</v>
      </c>
      <c r="AC1145" s="3">
        <v>0</v>
      </c>
      <c r="AD1145" s="3">
        <v>0</v>
      </c>
      <c r="AE1145" s="3">
        <v>14</v>
      </c>
      <c r="AF1145" s="3" t="s">
        <v>0</v>
      </c>
      <c r="AG1145" s="3" t="s">
        <v>49</v>
      </c>
    </row>
    <row r="1146" spans="1:33" ht="25.5" x14ac:dyDescent="0.2">
      <c r="A1146" s="4" t="str">
        <f>HYPERLINK("http://www.patentics.cn/invokexml.do?sf=ShowPatent&amp;spn=CN101478340&amp;sv=15723e05ee95326b827e66a2bb73e009","CN101478340")</f>
        <v>CN101478340</v>
      </c>
      <c r="B1146" s="2" t="s">
        <v>5300</v>
      </c>
      <c r="C1146" s="2" t="s">
        <v>5301</v>
      </c>
      <c r="D1146" s="2" t="s">
        <v>38</v>
      </c>
      <c r="E1146" s="2" t="s">
        <v>38</v>
      </c>
      <c r="F1146" s="2" t="s">
        <v>5302</v>
      </c>
      <c r="G1146" s="2" t="s">
        <v>5303</v>
      </c>
      <c r="H1146" s="2" t="s">
        <v>2455</v>
      </c>
      <c r="I1146" s="2" t="s">
        <v>2455</v>
      </c>
      <c r="J1146" s="2" t="s">
        <v>2456</v>
      </c>
      <c r="K1146" s="2" t="s">
        <v>84</v>
      </c>
      <c r="L1146" s="2" t="s">
        <v>1922</v>
      </c>
      <c r="M1146" s="2" t="s">
        <v>0</v>
      </c>
      <c r="N1146" s="2" t="s">
        <v>0</v>
      </c>
      <c r="O1146" s="2">
        <v>21</v>
      </c>
      <c r="P1146" s="2">
        <v>17</v>
      </c>
      <c r="Q1146" s="2" t="s">
        <v>46</v>
      </c>
      <c r="R1146" s="2" t="s">
        <v>47</v>
      </c>
      <c r="S1146" s="2">
        <v>0</v>
      </c>
      <c r="T1146" s="2">
        <v>0</v>
      </c>
      <c r="U1146" s="2">
        <v>0</v>
      </c>
      <c r="V1146" s="2">
        <v>0</v>
      </c>
      <c r="W1146" s="2">
        <v>3</v>
      </c>
      <c r="X1146" s="2" t="s">
        <v>5304</v>
      </c>
      <c r="Y1146" s="2">
        <v>0</v>
      </c>
      <c r="Z1146" s="2">
        <v>3</v>
      </c>
      <c r="AA1146" s="2">
        <v>2</v>
      </c>
      <c r="AB1146" s="2">
        <v>2</v>
      </c>
      <c r="AC1146" s="2">
        <v>1</v>
      </c>
      <c r="AD1146" s="2">
        <v>1</v>
      </c>
      <c r="AE1146" s="2" t="s">
        <v>0</v>
      </c>
      <c r="AF1146" s="2">
        <v>2</v>
      </c>
      <c r="AG1146" s="2" t="s">
        <v>49</v>
      </c>
    </row>
    <row r="1147" spans="1:33" ht="89.25" x14ac:dyDescent="0.2">
      <c r="A1147" s="5" t="str">
        <f>HYPERLINK("http://www.patentics.cn/invokexml.do?sf=ShowPatent&amp;spn=US9350506&amp;sv=a1442120dee0d5b315a4a50976fef39d","US9350506")</f>
        <v>US9350506</v>
      </c>
      <c r="B1147" s="3" t="s">
        <v>5305</v>
      </c>
      <c r="C1147" s="3" t="s">
        <v>5306</v>
      </c>
      <c r="D1147" s="3" t="s">
        <v>52</v>
      </c>
      <c r="E1147" s="3" t="s">
        <v>52</v>
      </c>
      <c r="F1147" s="3" t="s">
        <v>5307</v>
      </c>
      <c r="G1147" s="3" t="s">
        <v>5105</v>
      </c>
      <c r="H1147" s="3" t="s">
        <v>1205</v>
      </c>
      <c r="I1147" s="3" t="s">
        <v>5059</v>
      </c>
      <c r="J1147" s="3" t="s">
        <v>1184</v>
      </c>
      <c r="K1147" s="3" t="s">
        <v>82</v>
      </c>
      <c r="L1147" s="3" t="s">
        <v>83</v>
      </c>
      <c r="M1147" s="3" t="s">
        <v>58</v>
      </c>
      <c r="N1147" s="3" t="s">
        <v>335</v>
      </c>
      <c r="O1147" s="3">
        <v>0</v>
      </c>
      <c r="P1147" s="3">
        <v>15</v>
      </c>
      <c r="Q1147" s="3" t="s">
        <v>60</v>
      </c>
      <c r="R1147" s="3" t="s">
        <v>61</v>
      </c>
      <c r="S1147" s="3">
        <v>23</v>
      </c>
      <c r="T1147" s="3">
        <v>5</v>
      </c>
      <c r="U1147" s="3">
        <v>18</v>
      </c>
      <c r="V1147" s="3">
        <v>10</v>
      </c>
      <c r="W1147" s="3">
        <v>8</v>
      </c>
      <c r="X1147" s="3" t="s">
        <v>147</v>
      </c>
      <c r="Y1147" s="3">
        <v>0</v>
      </c>
      <c r="Z1147" s="3">
        <v>8</v>
      </c>
      <c r="AA1147" s="3">
        <v>0</v>
      </c>
      <c r="AB1147" s="3">
        <v>1</v>
      </c>
      <c r="AC1147" s="3">
        <v>8</v>
      </c>
      <c r="AD1147" s="3">
        <v>6</v>
      </c>
      <c r="AE1147" s="3">
        <v>14</v>
      </c>
      <c r="AF1147" s="3" t="s">
        <v>0</v>
      </c>
      <c r="AG1147" s="3" t="s">
        <v>49</v>
      </c>
    </row>
    <row r="1148" spans="1:33" ht="51" x14ac:dyDescent="0.2">
      <c r="A1148" s="5" t="str">
        <f>HYPERLINK("http://www.patentics.cn/invokexml.do?sf=ShowPatent&amp;spn=CN103229448B&amp;sv=3eb77d85d2255414bae3a9058c9303dd","CN103229448B")</f>
        <v>CN103229448B</v>
      </c>
      <c r="B1148" s="3" t="s">
        <v>5308</v>
      </c>
      <c r="C1148" s="3" t="s">
        <v>5309</v>
      </c>
      <c r="D1148" s="3" t="s">
        <v>338</v>
      </c>
      <c r="E1148" s="3" t="s">
        <v>338</v>
      </c>
      <c r="F1148" s="3" t="s">
        <v>5310</v>
      </c>
      <c r="G1148" s="3" t="s">
        <v>5109</v>
      </c>
      <c r="H1148" s="3" t="s">
        <v>1205</v>
      </c>
      <c r="I1148" s="3" t="s">
        <v>4596</v>
      </c>
      <c r="J1148" s="3" t="s">
        <v>2940</v>
      </c>
      <c r="K1148" s="3" t="s">
        <v>58</v>
      </c>
      <c r="L1148" s="3" t="s">
        <v>188</v>
      </c>
      <c r="M1148" s="3" t="s">
        <v>0</v>
      </c>
      <c r="N1148" s="3" t="s">
        <v>0</v>
      </c>
      <c r="O1148" s="3">
        <v>21</v>
      </c>
      <c r="P1148" s="3">
        <v>12</v>
      </c>
      <c r="Q1148" s="3" t="s">
        <v>60</v>
      </c>
      <c r="R1148" s="3" t="s">
        <v>61</v>
      </c>
      <c r="S1148" s="3">
        <v>2</v>
      </c>
      <c r="T1148" s="3">
        <v>0</v>
      </c>
      <c r="U1148" s="3">
        <v>2</v>
      </c>
      <c r="V1148" s="3">
        <v>2</v>
      </c>
      <c r="W1148" s="3">
        <v>8</v>
      </c>
      <c r="X1148" s="3" t="s">
        <v>147</v>
      </c>
      <c r="Y1148" s="3">
        <v>0</v>
      </c>
      <c r="Z1148" s="3">
        <v>8</v>
      </c>
      <c r="AA1148" s="3">
        <v>0</v>
      </c>
      <c r="AB1148" s="3">
        <v>1</v>
      </c>
      <c r="AC1148" s="3">
        <v>8</v>
      </c>
      <c r="AD1148" s="3">
        <v>6</v>
      </c>
      <c r="AE1148" s="3">
        <v>14</v>
      </c>
      <c r="AF1148" s="3" t="s">
        <v>0</v>
      </c>
      <c r="AG1148" s="3" t="s">
        <v>49</v>
      </c>
    </row>
    <row r="1149" spans="1:33" ht="38.25" x14ac:dyDescent="0.2">
      <c r="A1149" s="4" t="str">
        <f>HYPERLINK("http://www.patentics.cn/invokexml.do?sf=ShowPatent&amp;spn=CN101459524&amp;sv=e1def6e655b25912f21a4cd45d6cb2f9","CN101459524")</f>
        <v>CN101459524</v>
      </c>
      <c r="B1149" s="2" t="s">
        <v>5311</v>
      </c>
      <c r="C1149" s="2" t="s">
        <v>5312</v>
      </c>
      <c r="D1149" s="2" t="s">
        <v>38</v>
      </c>
      <c r="E1149" s="2" t="s">
        <v>38</v>
      </c>
      <c r="F1149" s="2" t="s">
        <v>5313</v>
      </c>
      <c r="G1149" s="2" t="s">
        <v>5314</v>
      </c>
      <c r="H1149" s="2" t="s">
        <v>5315</v>
      </c>
      <c r="I1149" s="2" t="s">
        <v>5315</v>
      </c>
      <c r="J1149" s="2" t="s">
        <v>1008</v>
      </c>
      <c r="K1149" s="2" t="s">
        <v>58</v>
      </c>
      <c r="L1149" s="2" t="s">
        <v>4845</v>
      </c>
      <c r="M1149" s="2" t="s">
        <v>0</v>
      </c>
      <c r="N1149" s="2" t="s">
        <v>0</v>
      </c>
      <c r="O1149" s="2">
        <v>10</v>
      </c>
      <c r="P1149" s="2">
        <v>22</v>
      </c>
      <c r="Q1149" s="2" t="s">
        <v>46</v>
      </c>
      <c r="R1149" s="2" t="s">
        <v>47</v>
      </c>
      <c r="S1149" s="2">
        <v>0</v>
      </c>
      <c r="T1149" s="2">
        <v>0</v>
      </c>
      <c r="U1149" s="2">
        <v>0</v>
      </c>
      <c r="V1149" s="2">
        <v>0</v>
      </c>
      <c r="W1149" s="2">
        <v>6</v>
      </c>
      <c r="X1149" s="2" t="s">
        <v>5316</v>
      </c>
      <c r="Y1149" s="2">
        <v>2</v>
      </c>
      <c r="Z1149" s="2">
        <v>4</v>
      </c>
      <c r="AA1149" s="2">
        <v>3</v>
      </c>
      <c r="AB1149" s="2">
        <v>3</v>
      </c>
      <c r="AC1149" s="2">
        <v>1</v>
      </c>
      <c r="AD1149" s="2">
        <v>1</v>
      </c>
      <c r="AE1149" s="2" t="s">
        <v>0</v>
      </c>
      <c r="AF1149" s="2">
        <v>2</v>
      </c>
      <c r="AG1149" s="2" t="s">
        <v>49</v>
      </c>
    </row>
    <row r="1150" spans="1:33" ht="140.25" x14ac:dyDescent="0.2">
      <c r="A1150" s="5" t="str">
        <f>HYPERLINK("http://www.patentics.cn/invokexml.do?sf=ShowPatent&amp;spn=US8972553&amp;sv=602096535171076fc126d402beecf8b6","US8972553")</f>
        <v>US8972553</v>
      </c>
      <c r="B1150" s="3" t="s">
        <v>5317</v>
      </c>
      <c r="C1150" s="3" t="s">
        <v>5318</v>
      </c>
      <c r="D1150" s="3" t="s">
        <v>52</v>
      </c>
      <c r="E1150" s="3" t="s">
        <v>52</v>
      </c>
      <c r="F1150" s="3" t="s">
        <v>5319</v>
      </c>
      <c r="G1150" s="3" t="s">
        <v>5320</v>
      </c>
      <c r="H1150" s="3" t="s">
        <v>4557</v>
      </c>
      <c r="I1150" s="3" t="s">
        <v>939</v>
      </c>
      <c r="J1150" s="3" t="s">
        <v>1899</v>
      </c>
      <c r="K1150" s="3" t="s">
        <v>555</v>
      </c>
      <c r="L1150" s="3" t="s">
        <v>1553</v>
      </c>
      <c r="M1150" s="3" t="s">
        <v>58</v>
      </c>
      <c r="N1150" s="3" t="s">
        <v>5321</v>
      </c>
      <c r="O1150" s="3">
        <v>0</v>
      </c>
      <c r="P1150" s="3">
        <v>13</v>
      </c>
      <c r="Q1150" s="3" t="s">
        <v>60</v>
      </c>
      <c r="R1150" s="3" t="s">
        <v>61</v>
      </c>
      <c r="S1150" s="3">
        <v>7</v>
      </c>
      <c r="T1150" s="3">
        <v>0</v>
      </c>
      <c r="U1150" s="3">
        <v>7</v>
      </c>
      <c r="V1150" s="3">
        <v>3</v>
      </c>
      <c r="W1150" s="3">
        <v>14</v>
      </c>
      <c r="X1150" s="3" t="s">
        <v>5322</v>
      </c>
      <c r="Y1150" s="3">
        <v>0</v>
      </c>
      <c r="Z1150" s="3">
        <v>14</v>
      </c>
      <c r="AA1150" s="3">
        <v>2</v>
      </c>
      <c r="AB1150" s="3">
        <v>2</v>
      </c>
      <c r="AC1150" s="3">
        <v>9</v>
      </c>
      <c r="AD1150" s="3">
        <v>7</v>
      </c>
      <c r="AE1150" s="3">
        <v>14</v>
      </c>
      <c r="AF1150" s="3" t="s">
        <v>0</v>
      </c>
      <c r="AG1150" s="3" t="s">
        <v>49</v>
      </c>
    </row>
    <row r="1151" spans="1:33" ht="51" x14ac:dyDescent="0.2">
      <c r="A1151" s="5" t="str">
        <f>HYPERLINK("http://www.patentics.cn/invokexml.do?sf=ShowPatent&amp;spn=CN102474519B&amp;sv=38ff3a40c9c5502ed8e2b1be9a3768ad","CN102474519B")</f>
        <v>CN102474519B</v>
      </c>
      <c r="B1151" s="3" t="s">
        <v>5323</v>
      </c>
      <c r="C1151" s="3" t="s">
        <v>5324</v>
      </c>
      <c r="D1151" s="3" t="s">
        <v>338</v>
      </c>
      <c r="E1151" s="3" t="s">
        <v>338</v>
      </c>
      <c r="F1151" s="3" t="s">
        <v>5325</v>
      </c>
      <c r="G1151" s="3" t="s">
        <v>5326</v>
      </c>
      <c r="H1151" s="3" t="s">
        <v>4557</v>
      </c>
      <c r="I1151" s="3" t="s">
        <v>552</v>
      </c>
      <c r="J1151" s="3" t="s">
        <v>5327</v>
      </c>
      <c r="K1151" s="3" t="s">
        <v>58</v>
      </c>
      <c r="L1151" s="3" t="s">
        <v>722</v>
      </c>
      <c r="M1151" s="3" t="s">
        <v>0</v>
      </c>
      <c r="N1151" s="3" t="s">
        <v>0</v>
      </c>
      <c r="O1151" s="3">
        <v>34</v>
      </c>
      <c r="P1151" s="3">
        <v>10</v>
      </c>
      <c r="Q1151" s="3" t="s">
        <v>60</v>
      </c>
      <c r="R1151" s="3" t="s">
        <v>61</v>
      </c>
      <c r="S1151" s="3">
        <v>3</v>
      </c>
      <c r="T1151" s="3">
        <v>0</v>
      </c>
      <c r="U1151" s="3">
        <v>3</v>
      </c>
      <c r="V1151" s="3">
        <v>2</v>
      </c>
      <c r="W1151" s="3">
        <v>12</v>
      </c>
      <c r="X1151" s="3" t="s">
        <v>147</v>
      </c>
      <c r="Y1151" s="3">
        <v>0</v>
      </c>
      <c r="Z1151" s="3">
        <v>12</v>
      </c>
      <c r="AA1151" s="3">
        <v>0</v>
      </c>
      <c r="AB1151" s="3">
        <v>1</v>
      </c>
      <c r="AC1151" s="3">
        <v>0</v>
      </c>
      <c r="AD1151" s="3">
        <v>0</v>
      </c>
      <c r="AE1151" s="3">
        <v>14</v>
      </c>
      <c r="AF1151" s="3" t="s">
        <v>0</v>
      </c>
      <c r="AG1151" s="3" t="s">
        <v>49</v>
      </c>
    </row>
    <row r="1152" spans="1:33" ht="25.5" x14ac:dyDescent="0.2">
      <c r="A1152" s="4" t="str">
        <f>HYPERLINK("http://www.patentics.cn/invokexml.do?sf=ShowPatent&amp;spn=CN101420750&amp;sv=0b8cb36eda44963cf04bd0cabb7bc804","CN101420750")</f>
        <v>CN101420750</v>
      </c>
      <c r="B1152" s="2" t="s">
        <v>5328</v>
      </c>
      <c r="C1152" s="2" t="s">
        <v>5329</v>
      </c>
      <c r="D1152" s="2" t="s">
        <v>38</v>
      </c>
      <c r="E1152" s="2" t="s">
        <v>38</v>
      </c>
      <c r="F1152" s="2" t="s">
        <v>5330</v>
      </c>
      <c r="G1152" s="2" t="s">
        <v>5330</v>
      </c>
      <c r="H1152" s="2" t="s">
        <v>1361</v>
      </c>
      <c r="I1152" s="2" t="s">
        <v>1361</v>
      </c>
      <c r="J1152" s="2" t="s">
        <v>1138</v>
      </c>
      <c r="K1152" s="2" t="s">
        <v>82</v>
      </c>
      <c r="L1152" s="2" t="s">
        <v>827</v>
      </c>
      <c r="M1152" s="2" t="s">
        <v>0</v>
      </c>
      <c r="N1152" s="2" t="s">
        <v>0</v>
      </c>
      <c r="O1152" s="2">
        <v>10</v>
      </c>
      <c r="P1152" s="2">
        <v>17</v>
      </c>
      <c r="Q1152" s="2" t="s">
        <v>46</v>
      </c>
      <c r="R1152" s="2" t="s">
        <v>47</v>
      </c>
      <c r="S1152" s="2">
        <v>0</v>
      </c>
      <c r="T1152" s="2">
        <v>0</v>
      </c>
      <c r="U1152" s="2">
        <v>0</v>
      </c>
      <c r="V1152" s="2">
        <v>0</v>
      </c>
      <c r="W1152" s="2">
        <v>2</v>
      </c>
      <c r="X1152" s="2" t="s">
        <v>403</v>
      </c>
      <c r="Y1152" s="2">
        <v>0</v>
      </c>
      <c r="Z1152" s="2">
        <v>2</v>
      </c>
      <c r="AA1152" s="2">
        <v>1</v>
      </c>
      <c r="AB1152" s="2">
        <v>1</v>
      </c>
      <c r="AC1152" s="2">
        <v>1</v>
      </c>
      <c r="AD1152" s="2">
        <v>1</v>
      </c>
      <c r="AE1152" s="2" t="s">
        <v>0</v>
      </c>
      <c r="AF1152" s="2">
        <v>2</v>
      </c>
      <c r="AG1152" s="2" t="s">
        <v>49</v>
      </c>
    </row>
    <row r="1153" spans="1:33" ht="63.75" x14ac:dyDescent="0.2">
      <c r="A1153" s="5" t="str">
        <f>HYPERLINK("http://www.patentics.cn/invokexml.do?sf=ShowPatent&amp;spn=US8824305&amp;sv=12cd5e3832add831ff027f5d4c9e190d","US8824305")</f>
        <v>US8824305</v>
      </c>
      <c r="B1153" s="3" t="s">
        <v>5331</v>
      </c>
      <c r="C1153" s="3" t="s">
        <v>5332</v>
      </c>
      <c r="D1153" s="3" t="s">
        <v>52</v>
      </c>
      <c r="E1153" s="3" t="s">
        <v>52</v>
      </c>
      <c r="F1153" s="3" t="s">
        <v>5333</v>
      </c>
      <c r="G1153" s="3" t="s">
        <v>5334</v>
      </c>
      <c r="H1153" s="3" t="s">
        <v>3137</v>
      </c>
      <c r="I1153" s="3" t="s">
        <v>5335</v>
      </c>
      <c r="J1153" s="3" t="s">
        <v>5336</v>
      </c>
      <c r="K1153" s="3" t="s">
        <v>82</v>
      </c>
      <c r="L1153" s="3" t="s">
        <v>5337</v>
      </c>
      <c r="M1153" s="3" t="s">
        <v>82</v>
      </c>
      <c r="N1153" s="3" t="s">
        <v>1462</v>
      </c>
      <c r="O1153" s="3">
        <v>0</v>
      </c>
      <c r="P1153" s="3">
        <v>15</v>
      </c>
      <c r="Q1153" s="3" t="s">
        <v>60</v>
      </c>
      <c r="R1153" s="3" t="s">
        <v>61</v>
      </c>
      <c r="S1153" s="3">
        <v>39</v>
      </c>
      <c r="T1153" s="3">
        <v>6</v>
      </c>
      <c r="U1153" s="3">
        <v>33</v>
      </c>
      <c r="V1153" s="3">
        <v>17</v>
      </c>
      <c r="W1153" s="3">
        <v>7</v>
      </c>
      <c r="X1153" s="3" t="s">
        <v>147</v>
      </c>
      <c r="Y1153" s="3">
        <v>0</v>
      </c>
      <c r="Z1153" s="3">
        <v>7</v>
      </c>
      <c r="AA1153" s="3">
        <v>0</v>
      </c>
      <c r="AB1153" s="3">
        <v>1</v>
      </c>
      <c r="AC1153" s="3">
        <v>35</v>
      </c>
      <c r="AD1153" s="3">
        <v>9</v>
      </c>
      <c r="AE1153" s="3">
        <v>14</v>
      </c>
      <c r="AF1153" s="3" t="s">
        <v>0</v>
      </c>
      <c r="AG1153" s="3" t="s">
        <v>49</v>
      </c>
    </row>
    <row r="1154" spans="1:33" ht="63.75" x14ac:dyDescent="0.2">
      <c r="A1154" s="5" t="str">
        <f>HYPERLINK("http://www.patentics.cn/invokexml.do?sf=ShowPatent&amp;spn=US9271228&amp;sv=0565537aa3fbe0ee5b8f7471fc620153","US9271228")</f>
        <v>US9271228</v>
      </c>
      <c r="B1154" s="3" t="s">
        <v>5338</v>
      </c>
      <c r="C1154" s="3" t="s">
        <v>5339</v>
      </c>
      <c r="D1154" s="3" t="s">
        <v>52</v>
      </c>
      <c r="E1154" s="3" t="s">
        <v>52</v>
      </c>
      <c r="F1154" s="3" t="s">
        <v>5333</v>
      </c>
      <c r="G1154" s="3" t="s">
        <v>5334</v>
      </c>
      <c r="H1154" s="3" t="s">
        <v>3137</v>
      </c>
      <c r="I1154" s="3" t="s">
        <v>5335</v>
      </c>
      <c r="J1154" s="3" t="s">
        <v>669</v>
      </c>
      <c r="K1154" s="3" t="s">
        <v>82</v>
      </c>
      <c r="L1154" s="3" t="s">
        <v>5337</v>
      </c>
      <c r="M1154" s="3" t="s">
        <v>82</v>
      </c>
      <c r="N1154" s="3" t="s">
        <v>5340</v>
      </c>
      <c r="O1154" s="3">
        <v>0</v>
      </c>
      <c r="P1154" s="3">
        <v>29</v>
      </c>
      <c r="Q1154" s="3" t="s">
        <v>60</v>
      </c>
      <c r="R1154" s="3" t="s">
        <v>61</v>
      </c>
      <c r="S1154" s="3">
        <v>40</v>
      </c>
      <c r="T1154" s="3">
        <v>6</v>
      </c>
      <c r="U1154" s="3">
        <v>34</v>
      </c>
      <c r="V1154" s="3">
        <v>18</v>
      </c>
      <c r="W1154" s="3">
        <v>7</v>
      </c>
      <c r="X1154" s="3" t="s">
        <v>147</v>
      </c>
      <c r="Y1154" s="3">
        <v>0</v>
      </c>
      <c r="Z1154" s="3">
        <v>7</v>
      </c>
      <c r="AA1154" s="3">
        <v>0</v>
      </c>
      <c r="AB1154" s="3">
        <v>1</v>
      </c>
      <c r="AC1154" s="3">
        <v>35</v>
      </c>
      <c r="AD1154" s="3">
        <v>9</v>
      </c>
      <c r="AE1154" s="3">
        <v>14</v>
      </c>
      <c r="AF1154" s="3" t="s">
        <v>0</v>
      </c>
      <c r="AG1154" s="3" t="s">
        <v>49</v>
      </c>
    </row>
    <row r="1155" spans="1:33" ht="38.25" x14ac:dyDescent="0.2">
      <c r="A1155" s="4" t="str">
        <f>HYPERLINK("http://www.patentics.cn/invokexml.do?sf=ShowPatent&amp;spn=CN101404526&amp;sv=f2277189224541d76f729997274f458b","CN101404526")</f>
        <v>CN101404526</v>
      </c>
      <c r="B1155" s="2" t="s">
        <v>5341</v>
      </c>
      <c r="C1155" s="2" t="s">
        <v>5342</v>
      </c>
      <c r="D1155" s="2" t="s">
        <v>38</v>
      </c>
      <c r="E1155" s="2" t="s">
        <v>38</v>
      </c>
      <c r="F1155" s="2" t="s">
        <v>1174</v>
      </c>
      <c r="G1155" s="2" t="s">
        <v>1175</v>
      </c>
      <c r="H1155" s="2" t="s">
        <v>3010</v>
      </c>
      <c r="I1155" s="2" t="s">
        <v>3010</v>
      </c>
      <c r="J1155" s="2" t="s">
        <v>5343</v>
      </c>
      <c r="K1155" s="2" t="s">
        <v>84</v>
      </c>
      <c r="L1155" s="2" t="s">
        <v>537</v>
      </c>
      <c r="M1155" s="2" t="s">
        <v>0</v>
      </c>
      <c r="N1155" s="2" t="s">
        <v>0</v>
      </c>
      <c r="O1155" s="2">
        <v>17</v>
      </c>
      <c r="P1155" s="2">
        <v>10</v>
      </c>
      <c r="Q1155" s="2" t="s">
        <v>46</v>
      </c>
      <c r="R1155" s="2" t="s">
        <v>47</v>
      </c>
      <c r="S1155" s="2">
        <v>0</v>
      </c>
      <c r="T1155" s="2">
        <v>0</v>
      </c>
      <c r="U1155" s="2">
        <v>0</v>
      </c>
      <c r="V1155" s="2">
        <v>0</v>
      </c>
      <c r="W1155" s="2">
        <v>55</v>
      </c>
      <c r="X1155" s="2" t="s">
        <v>5344</v>
      </c>
      <c r="Y1155" s="2">
        <v>9</v>
      </c>
      <c r="Z1155" s="2">
        <v>46</v>
      </c>
      <c r="AA1155" s="2">
        <v>10</v>
      </c>
      <c r="AB1155" s="2">
        <v>6</v>
      </c>
      <c r="AC1155" s="2">
        <v>2</v>
      </c>
      <c r="AD1155" s="2">
        <v>2</v>
      </c>
      <c r="AE1155" s="2" t="s">
        <v>0</v>
      </c>
      <c r="AF1155" s="2">
        <v>2</v>
      </c>
      <c r="AG1155" s="2" t="s">
        <v>49</v>
      </c>
    </row>
    <row r="1156" spans="1:33" ht="63.75" x14ac:dyDescent="0.2">
      <c r="A1156" s="5" t="str">
        <f>HYPERLINK("http://www.patentics.cn/invokexml.do?sf=ShowPatent&amp;spn=US8989208&amp;sv=99447fef1ccfd0e600800ec30ba1d577","US8989208")</f>
        <v>US8989208</v>
      </c>
      <c r="B1156" s="3" t="s">
        <v>5345</v>
      </c>
      <c r="C1156" s="3" t="s">
        <v>5346</v>
      </c>
      <c r="D1156" s="3" t="s">
        <v>52</v>
      </c>
      <c r="E1156" s="3" t="s">
        <v>52</v>
      </c>
      <c r="F1156" s="3" t="s">
        <v>5347</v>
      </c>
      <c r="G1156" s="3" t="s">
        <v>1091</v>
      </c>
      <c r="H1156" s="3" t="s">
        <v>5348</v>
      </c>
      <c r="I1156" s="3" t="s">
        <v>5349</v>
      </c>
      <c r="J1156" s="3" t="s">
        <v>812</v>
      </c>
      <c r="K1156" s="3" t="s">
        <v>58</v>
      </c>
      <c r="L1156" s="3" t="s">
        <v>4352</v>
      </c>
      <c r="M1156" s="3" t="s">
        <v>58</v>
      </c>
      <c r="N1156" s="3" t="s">
        <v>5350</v>
      </c>
      <c r="O1156" s="3">
        <v>0</v>
      </c>
      <c r="P1156" s="3">
        <v>9</v>
      </c>
      <c r="Q1156" s="3" t="s">
        <v>60</v>
      </c>
      <c r="R1156" s="3" t="s">
        <v>61</v>
      </c>
      <c r="S1156" s="3">
        <v>12</v>
      </c>
      <c r="T1156" s="3">
        <v>1</v>
      </c>
      <c r="U1156" s="3">
        <v>11</v>
      </c>
      <c r="V1156" s="3">
        <v>7</v>
      </c>
      <c r="W1156" s="3">
        <v>9</v>
      </c>
      <c r="X1156" s="3" t="s">
        <v>108</v>
      </c>
      <c r="Y1156" s="3">
        <v>1</v>
      </c>
      <c r="Z1156" s="3">
        <v>8</v>
      </c>
      <c r="AA1156" s="3">
        <v>1</v>
      </c>
      <c r="AB1156" s="3">
        <v>2</v>
      </c>
      <c r="AC1156" s="3">
        <v>15</v>
      </c>
      <c r="AD1156" s="3">
        <v>7</v>
      </c>
      <c r="AE1156" s="3">
        <v>14</v>
      </c>
      <c r="AF1156" s="3" t="s">
        <v>0</v>
      </c>
      <c r="AG1156" s="3" t="s">
        <v>49</v>
      </c>
    </row>
    <row r="1157" spans="1:33" ht="25.5" x14ac:dyDescent="0.2">
      <c r="A1157" s="5" t="str">
        <f>HYPERLINK("http://www.patentics.cn/invokexml.do?sf=ShowPatent&amp;spn=CN102415038B&amp;sv=3c9e8b66691876d5078729bfa66c310a","CN102415038B")</f>
        <v>CN102415038B</v>
      </c>
      <c r="B1157" s="3" t="s">
        <v>5351</v>
      </c>
      <c r="C1157" s="3" t="s">
        <v>5352</v>
      </c>
      <c r="D1157" s="3" t="s">
        <v>338</v>
      </c>
      <c r="E1157" s="3" t="s">
        <v>338</v>
      </c>
      <c r="F1157" s="3" t="s">
        <v>5353</v>
      </c>
      <c r="G1157" s="3" t="s">
        <v>1190</v>
      </c>
      <c r="H1157" s="3" t="s">
        <v>5348</v>
      </c>
      <c r="I1157" s="3" t="s">
        <v>1403</v>
      </c>
      <c r="J1157" s="3" t="s">
        <v>5354</v>
      </c>
      <c r="K1157" s="3" t="s">
        <v>58</v>
      </c>
      <c r="L1157" s="3" t="s">
        <v>5355</v>
      </c>
      <c r="M1157" s="3" t="s">
        <v>0</v>
      </c>
      <c r="N1157" s="3" t="s">
        <v>0</v>
      </c>
      <c r="O1157" s="3">
        <v>45</v>
      </c>
      <c r="P1157" s="3">
        <v>12</v>
      </c>
      <c r="Q1157" s="3" t="s">
        <v>60</v>
      </c>
      <c r="R1157" s="3" t="s">
        <v>61</v>
      </c>
      <c r="S1157" s="3">
        <v>6</v>
      </c>
      <c r="T1157" s="3">
        <v>0</v>
      </c>
      <c r="U1157" s="3">
        <v>6</v>
      </c>
      <c r="V1157" s="3">
        <v>4</v>
      </c>
      <c r="W1157" s="3">
        <v>8</v>
      </c>
      <c r="X1157" s="3" t="s">
        <v>147</v>
      </c>
      <c r="Y1157" s="3">
        <v>0</v>
      </c>
      <c r="Z1157" s="3">
        <v>8</v>
      </c>
      <c r="AA1157" s="3">
        <v>0</v>
      </c>
      <c r="AB1157" s="3">
        <v>1</v>
      </c>
      <c r="AC1157" s="3">
        <v>15</v>
      </c>
      <c r="AD1157" s="3">
        <v>7</v>
      </c>
      <c r="AE1157" s="3">
        <v>14</v>
      </c>
      <c r="AF1157" s="3" t="s">
        <v>0</v>
      </c>
      <c r="AG1157" s="3" t="s">
        <v>49</v>
      </c>
    </row>
    <row r="1158" spans="1:33" ht="25.5" x14ac:dyDescent="0.2">
      <c r="A1158" s="4" t="str">
        <f>HYPERLINK("http://www.patentics.cn/invokexml.do?sf=ShowPatent&amp;spn=CN101394199&amp;sv=46fd909a69e0ef76b998cea304c96508","CN101394199")</f>
        <v>CN101394199</v>
      </c>
      <c r="B1158" s="2" t="s">
        <v>5356</v>
      </c>
      <c r="C1158" s="2" t="s">
        <v>5357</v>
      </c>
      <c r="D1158" s="2" t="s">
        <v>38</v>
      </c>
      <c r="E1158" s="2" t="s">
        <v>38</v>
      </c>
      <c r="F1158" s="2" t="s">
        <v>5358</v>
      </c>
      <c r="G1158" s="2" t="s">
        <v>2491</v>
      </c>
      <c r="H1158" s="2" t="s">
        <v>5359</v>
      </c>
      <c r="I1158" s="2" t="s">
        <v>5359</v>
      </c>
      <c r="J1158" s="2" t="s">
        <v>4100</v>
      </c>
      <c r="K1158" s="2" t="s">
        <v>84</v>
      </c>
      <c r="L1158" s="2" t="s">
        <v>5360</v>
      </c>
      <c r="M1158" s="2" t="s">
        <v>0</v>
      </c>
      <c r="N1158" s="2" t="s">
        <v>0</v>
      </c>
      <c r="O1158" s="2">
        <v>14</v>
      </c>
      <c r="P1158" s="2">
        <v>9</v>
      </c>
      <c r="Q1158" s="2" t="s">
        <v>46</v>
      </c>
      <c r="R1158" s="2" t="s">
        <v>47</v>
      </c>
      <c r="S1158" s="2">
        <v>0</v>
      </c>
      <c r="T1158" s="2">
        <v>0</v>
      </c>
      <c r="U1158" s="2">
        <v>0</v>
      </c>
      <c r="V1158" s="2">
        <v>0</v>
      </c>
      <c r="W1158" s="2">
        <v>15</v>
      </c>
      <c r="X1158" s="2" t="s">
        <v>5361</v>
      </c>
      <c r="Y1158" s="2">
        <v>5</v>
      </c>
      <c r="Z1158" s="2">
        <v>10</v>
      </c>
      <c r="AA1158" s="2">
        <v>7</v>
      </c>
      <c r="AB1158" s="2">
        <v>4</v>
      </c>
      <c r="AC1158" s="2">
        <v>1</v>
      </c>
      <c r="AD1158" s="2">
        <v>2</v>
      </c>
      <c r="AE1158" s="2" t="s">
        <v>0</v>
      </c>
      <c r="AF1158" s="2">
        <v>2</v>
      </c>
      <c r="AG1158" s="2" t="s">
        <v>49</v>
      </c>
    </row>
    <row r="1159" spans="1:33" ht="127.5" x14ac:dyDescent="0.2">
      <c r="A1159" s="5" t="str">
        <f>HYPERLINK("http://www.patentics.cn/invokexml.do?sf=ShowPatent&amp;spn=US9055576&amp;sv=99346b92200ed106fb10ca24b11f8bde","US9055576")</f>
        <v>US9055576</v>
      </c>
      <c r="B1159" s="3" t="s">
        <v>1149</v>
      </c>
      <c r="C1159" s="3" t="s">
        <v>1150</v>
      </c>
      <c r="D1159" s="3" t="s">
        <v>52</v>
      </c>
      <c r="E1159" s="3" t="s">
        <v>52</v>
      </c>
      <c r="F1159" s="3" t="s">
        <v>1151</v>
      </c>
      <c r="G1159" s="3" t="s">
        <v>1091</v>
      </c>
      <c r="H1159" s="3" t="s">
        <v>1152</v>
      </c>
      <c r="I1159" s="3" t="s">
        <v>1153</v>
      </c>
      <c r="J1159" s="3" t="s">
        <v>1154</v>
      </c>
      <c r="K1159" s="3" t="s">
        <v>82</v>
      </c>
      <c r="L1159" s="3" t="s">
        <v>83</v>
      </c>
      <c r="M1159" s="3" t="s">
        <v>0</v>
      </c>
      <c r="N1159" s="3" t="s">
        <v>0</v>
      </c>
      <c r="O1159" s="3">
        <v>0</v>
      </c>
      <c r="P1159" s="3">
        <v>13</v>
      </c>
      <c r="Q1159" s="3" t="s">
        <v>60</v>
      </c>
      <c r="R1159" s="3" t="s">
        <v>61</v>
      </c>
      <c r="S1159" s="3">
        <v>19</v>
      </c>
      <c r="T1159" s="3">
        <v>0</v>
      </c>
      <c r="U1159" s="3">
        <v>19</v>
      </c>
      <c r="V1159" s="3">
        <v>10</v>
      </c>
      <c r="W1159" s="3">
        <v>7</v>
      </c>
      <c r="X1159" s="3" t="s">
        <v>403</v>
      </c>
      <c r="Y1159" s="3">
        <v>0</v>
      </c>
      <c r="Z1159" s="3">
        <v>7</v>
      </c>
      <c r="AA1159" s="3">
        <v>1</v>
      </c>
      <c r="AB1159" s="3">
        <v>2</v>
      </c>
      <c r="AC1159" s="3">
        <v>10</v>
      </c>
      <c r="AD1159" s="3">
        <v>7</v>
      </c>
      <c r="AE1159" s="3">
        <v>14</v>
      </c>
      <c r="AF1159" s="3" t="s">
        <v>0</v>
      </c>
      <c r="AG1159" s="3" t="s">
        <v>49</v>
      </c>
    </row>
    <row r="1160" spans="1:33" ht="63.75" x14ac:dyDescent="0.2">
      <c r="A1160" s="5" t="str">
        <f>HYPERLINK("http://www.patentics.cn/invokexml.do?sf=ShowPatent&amp;spn=CN102550108B&amp;sv=5347d7b440b657109cf48b228e42a1ba","CN102550108B")</f>
        <v>CN102550108B</v>
      </c>
      <c r="B1160" s="3" t="s">
        <v>2873</v>
      </c>
      <c r="C1160" s="3" t="s">
        <v>2874</v>
      </c>
      <c r="D1160" s="3" t="s">
        <v>338</v>
      </c>
      <c r="E1160" s="3" t="s">
        <v>338</v>
      </c>
      <c r="F1160" s="3" t="s">
        <v>2875</v>
      </c>
      <c r="G1160" s="3" t="s">
        <v>1190</v>
      </c>
      <c r="H1160" s="3" t="s">
        <v>1152</v>
      </c>
      <c r="I1160" s="3" t="s">
        <v>909</v>
      </c>
      <c r="J1160" s="3" t="s">
        <v>2876</v>
      </c>
      <c r="K1160" s="3" t="s">
        <v>58</v>
      </c>
      <c r="L1160" s="3" t="s">
        <v>722</v>
      </c>
      <c r="M1160" s="3" t="s">
        <v>0</v>
      </c>
      <c r="N1160" s="3" t="s">
        <v>0</v>
      </c>
      <c r="O1160" s="3">
        <v>29</v>
      </c>
      <c r="P1160" s="3">
        <v>15</v>
      </c>
      <c r="Q1160" s="3" t="s">
        <v>60</v>
      </c>
      <c r="R1160" s="3" t="s">
        <v>61</v>
      </c>
      <c r="S1160" s="3">
        <v>3</v>
      </c>
      <c r="T1160" s="3">
        <v>0</v>
      </c>
      <c r="U1160" s="3">
        <v>3</v>
      </c>
      <c r="V1160" s="3">
        <v>2</v>
      </c>
      <c r="W1160" s="3">
        <v>6</v>
      </c>
      <c r="X1160" s="3" t="s">
        <v>147</v>
      </c>
      <c r="Y1160" s="3">
        <v>0</v>
      </c>
      <c r="Z1160" s="3">
        <v>6</v>
      </c>
      <c r="AA1160" s="3">
        <v>0</v>
      </c>
      <c r="AB1160" s="3">
        <v>1</v>
      </c>
      <c r="AC1160" s="3">
        <v>0</v>
      </c>
      <c r="AD1160" s="3">
        <v>0</v>
      </c>
      <c r="AE1160" s="3">
        <v>14</v>
      </c>
      <c r="AF1160" s="3" t="s">
        <v>0</v>
      </c>
      <c r="AG1160" s="3" t="s">
        <v>49</v>
      </c>
    </row>
    <row r="1161" spans="1:33" ht="25.5" x14ac:dyDescent="0.2">
      <c r="A1161" s="4" t="str">
        <f>HYPERLINK("http://www.patentics.cn/invokexml.do?sf=ShowPatent&amp;spn=CN101383648&amp;sv=b29ccbfee380e709ae4e80ac9a459f96","CN101383648")</f>
        <v>CN101383648</v>
      </c>
      <c r="B1161" s="2" t="s">
        <v>5362</v>
      </c>
      <c r="C1161" s="2" t="s">
        <v>5363</v>
      </c>
      <c r="D1161" s="2" t="s">
        <v>38</v>
      </c>
      <c r="E1161" s="2" t="s">
        <v>38</v>
      </c>
      <c r="F1161" s="2" t="s">
        <v>5364</v>
      </c>
      <c r="G1161" s="2" t="s">
        <v>5365</v>
      </c>
      <c r="H1161" s="2" t="s">
        <v>5366</v>
      </c>
      <c r="I1161" s="2" t="s">
        <v>5366</v>
      </c>
      <c r="J1161" s="2" t="s">
        <v>5367</v>
      </c>
      <c r="K1161" s="2" t="s">
        <v>84</v>
      </c>
      <c r="L1161" s="2" t="s">
        <v>343</v>
      </c>
      <c r="M1161" s="2" t="s">
        <v>0</v>
      </c>
      <c r="N1161" s="2" t="s">
        <v>0</v>
      </c>
      <c r="O1161" s="2">
        <v>9</v>
      </c>
      <c r="P1161" s="2">
        <v>12</v>
      </c>
      <c r="Q1161" s="2" t="s">
        <v>46</v>
      </c>
      <c r="R1161" s="2" t="s">
        <v>47</v>
      </c>
      <c r="S1161" s="2">
        <v>0</v>
      </c>
      <c r="T1161" s="2">
        <v>0</v>
      </c>
      <c r="U1161" s="2">
        <v>0</v>
      </c>
      <c r="V1161" s="2">
        <v>0</v>
      </c>
      <c r="W1161" s="2">
        <v>4</v>
      </c>
      <c r="X1161" s="2" t="s">
        <v>5368</v>
      </c>
      <c r="Y1161" s="2">
        <v>1</v>
      </c>
      <c r="Z1161" s="2">
        <v>3</v>
      </c>
      <c r="AA1161" s="2">
        <v>3</v>
      </c>
      <c r="AB1161" s="2">
        <v>3</v>
      </c>
      <c r="AC1161" s="2">
        <v>3</v>
      </c>
      <c r="AD1161" s="2">
        <v>3</v>
      </c>
      <c r="AE1161" s="2" t="s">
        <v>0</v>
      </c>
      <c r="AF1161" s="2">
        <v>2</v>
      </c>
      <c r="AG1161" s="2" t="s">
        <v>49</v>
      </c>
    </row>
    <row r="1162" spans="1:33" ht="51" x14ac:dyDescent="0.2">
      <c r="A1162" s="5" t="str">
        <f>HYPERLINK("http://www.patentics.cn/invokexml.do?sf=ShowPatent&amp;spn=US8792426&amp;sv=eaab9922f7e40e0ca645447e0a9840a5","US8792426")</f>
        <v>US8792426</v>
      </c>
      <c r="B1162" s="3" t="s">
        <v>5369</v>
      </c>
      <c r="C1162" s="3" t="s">
        <v>5370</v>
      </c>
      <c r="D1162" s="3" t="s">
        <v>52</v>
      </c>
      <c r="E1162" s="3" t="s">
        <v>52</v>
      </c>
      <c r="F1162" s="3" t="s">
        <v>5371</v>
      </c>
      <c r="G1162" s="3" t="s">
        <v>949</v>
      </c>
      <c r="H1162" s="3" t="s">
        <v>3463</v>
      </c>
      <c r="I1162" s="3" t="s">
        <v>5367</v>
      </c>
      <c r="J1162" s="3" t="s">
        <v>1666</v>
      </c>
      <c r="K1162" s="3" t="s">
        <v>70</v>
      </c>
      <c r="L1162" s="3" t="s">
        <v>71</v>
      </c>
      <c r="M1162" s="3" t="s">
        <v>58</v>
      </c>
      <c r="N1162" s="3" t="s">
        <v>5372</v>
      </c>
      <c r="O1162" s="3">
        <v>0</v>
      </c>
      <c r="P1162" s="3">
        <v>16</v>
      </c>
      <c r="Q1162" s="3" t="s">
        <v>60</v>
      </c>
      <c r="R1162" s="3" t="s">
        <v>61</v>
      </c>
      <c r="S1162" s="3">
        <v>16</v>
      </c>
      <c r="T1162" s="3">
        <v>3</v>
      </c>
      <c r="U1162" s="3">
        <v>13</v>
      </c>
      <c r="V1162" s="3">
        <v>8</v>
      </c>
      <c r="W1162" s="3">
        <v>1</v>
      </c>
      <c r="X1162" s="3" t="s">
        <v>108</v>
      </c>
      <c r="Y1162" s="3">
        <v>0</v>
      </c>
      <c r="Z1162" s="3">
        <v>1</v>
      </c>
      <c r="AA1162" s="3">
        <v>1</v>
      </c>
      <c r="AB1162" s="3">
        <v>1</v>
      </c>
      <c r="AC1162" s="3">
        <v>21</v>
      </c>
      <c r="AD1162" s="3">
        <v>14</v>
      </c>
      <c r="AE1162" s="3">
        <v>14</v>
      </c>
      <c r="AF1162" s="3" t="s">
        <v>0</v>
      </c>
      <c r="AG1162" s="3" t="s">
        <v>49</v>
      </c>
    </row>
    <row r="1163" spans="1:33" ht="25.5" x14ac:dyDescent="0.2">
      <c r="A1163" s="5" t="str">
        <f>HYPERLINK("http://www.patentics.cn/invokexml.do?sf=ShowPatent&amp;spn=CN101978634B&amp;sv=b32c3f11f90a8f177b7b7d8464883b49","CN101978634B")</f>
        <v>CN101978634B</v>
      </c>
      <c r="B1163" s="3" t="s">
        <v>5373</v>
      </c>
      <c r="C1163" s="3" t="s">
        <v>5374</v>
      </c>
      <c r="D1163" s="3" t="s">
        <v>338</v>
      </c>
      <c r="E1163" s="3" t="s">
        <v>338</v>
      </c>
      <c r="F1163" s="3" t="s">
        <v>5375</v>
      </c>
      <c r="G1163" s="3" t="s">
        <v>5376</v>
      </c>
      <c r="H1163" s="3" t="s">
        <v>3463</v>
      </c>
      <c r="I1163" s="3" t="s">
        <v>4649</v>
      </c>
      <c r="J1163" s="3" t="s">
        <v>2516</v>
      </c>
      <c r="K1163" s="3" t="s">
        <v>58</v>
      </c>
      <c r="L1163" s="3" t="s">
        <v>2734</v>
      </c>
      <c r="M1163" s="3" t="s">
        <v>0</v>
      </c>
      <c r="N1163" s="3" t="s">
        <v>0</v>
      </c>
      <c r="O1163" s="3">
        <v>32</v>
      </c>
      <c r="P1163" s="3">
        <v>21</v>
      </c>
      <c r="Q1163" s="3" t="s">
        <v>60</v>
      </c>
      <c r="R1163" s="3" t="s">
        <v>61</v>
      </c>
      <c r="S1163" s="3">
        <v>1</v>
      </c>
      <c r="T1163" s="3">
        <v>0</v>
      </c>
      <c r="U1163" s="3">
        <v>1</v>
      </c>
      <c r="V1163" s="3">
        <v>1</v>
      </c>
      <c r="W1163" s="3">
        <v>0</v>
      </c>
      <c r="X1163" s="3" t="s">
        <v>147</v>
      </c>
      <c r="Y1163" s="3">
        <v>0</v>
      </c>
      <c r="Z1163" s="3">
        <v>0</v>
      </c>
      <c r="AA1163" s="3">
        <v>0</v>
      </c>
      <c r="AB1163" s="3">
        <v>0</v>
      </c>
      <c r="AC1163" s="3">
        <v>21</v>
      </c>
      <c r="AD1163" s="3">
        <v>14</v>
      </c>
      <c r="AE1163" s="3">
        <v>14</v>
      </c>
      <c r="AF1163" s="3" t="s">
        <v>0</v>
      </c>
      <c r="AG1163" s="3" t="s">
        <v>49</v>
      </c>
    </row>
    <row r="1164" spans="1:33" ht="38.25" x14ac:dyDescent="0.2">
      <c r="A1164" s="4" t="str">
        <f>HYPERLINK("http://www.patentics.cn/invokexml.do?sf=ShowPatent&amp;spn=CN101378595&amp;sv=7f331b5b4000f3437717adc3b9fc3bc5","CN101378595")</f>
        <v>CN101378595</v>
      </c>
      <c r="B1164" s="2" t="s">
        <v>5377</v>
      </c>
      <c r="C1164" s="2" t="s">
        <v>5378</v>
      </c>
      <c r="D1164" s="2" t="s">
        <v>38</v>
      </c>
      <c r="E1164" s="2" t="s">
        <v>38</v>
      </c>
      <c r="F1164" s="2" t="s">
        <v>5379</v>
      </c>
      <c r="G1164" s="2" t="s">
        <v>5303</v>
      </c>
      <c r="H1164" s="2" t="s">
        <v>4887</v>
      </c>
      <c r="I1164" s="2" t="s">
        <v>4887</v>
      </c>
      <c r="J1164" s="2" t="s">
        <v>1587</v>
      </c>
      <c r="K1164" s="2" t="s">
        <v>43</v>
      </c>
      <c r="L1164" s="2" t="s">
        <v>2591</v>
      </c>
      <c r="M1164" s="2" t="s">
        <v>0</v>
      </c>
      <c r="N1164" s="2" t="s">
        <v>0</v>
      </c>
      <c r="O1164" s="2">
        <v>10</v>
      </c>
      <c r="P1164" s="2">
        <v>22</v>
      </c>
      <c r="Q1164" s="2" t="s">
        <v>46</v>
      </c>
      <c r="R1164" s="2" t="s">
        <v>47</v>
      </c>
      <c r="S1164" s="2">
        <v>0</v>
      </c>
      <c r="T1164" s="2">
        <v>0</v>
      </c>
      <c r="U1164" s="2">
        <v>0</v>
      </c>
      <c r="V1164" s="2">
        <v>0</v>
      </c>
      <c r="W1164" s="2">
        <v>7</v>
      </c>
      <c r="X1164" s="2" t="s">
        <v>5380</v>
      </c>
      <c r="Y1164" s="2">
        <v>5</v>
      </c>
      <c r="Z1164" s="2">
        <v>2</v>
      </c>
      <c r="AA1164" s="2">
        <v>2</v>
      </c>
      <c r="AB1164" s="2">
        <v>3</v>
      </c>
      <c r="AC1164" s="2">
        <v>7</v>
      </c>
      <c r="AD1164" s="2">
        <v>5</v>
      </c>
      <c r="AE1164" s="2" t="s">
        <v>0</v>
      </c>
      <c r="AF1164" s="2">
        <v>2</v>
      </c>
      <c r="AG1164" s="2" t="s">
        <v>49</v>
      </c>
    </row>
    <row r="1165" spans="1:33" ht="63.75" x14ac:dyDescent="0.2">
      <c r="A1165" s="5" t="str">
        <f>HYPERLINK("http://www.patentics.cn/invokexml.do?sf=ShowPatent&amp;spn=US9503231&amp;sv=f622b3c713a717f15c237da9fdb9f8ea","US9503231")</f>
        <v>US9503231</v>
      </c>
      <c r="B1165" s="3" t="s">
        <v>5381</v>
      </c>
      <c r="C1165" s="3" t="s">
        <v>5382</v>
      </c>
      <c r="D1165" s="3" t="s">
        <v>52</v>
      </c>
      <c r="E1165" s="3" t="s">
        <v>52</v>
      </c>
      <c r="F1165" s="3" t="s">
        <v>2870</v>
      </c>
      <c r="G1165" s="3" t="s">
        <v>2871</v>
      </c>
      <c r="H1165" s="3" t="s">
        <v>5383</v>
      </c>
      <c r="I1165" s="3" t="s">
        <v>1999</v>
      </c>
      <c r="J1165" s="3" t="s">
        <v>2472</v>
      </c>
      <c r="K1165" s="3" t="s">
        <v>58</v>
      </c>
      <c r="L1165" s="3" t="s">
        <v>188</v>
      </c>
      <c r="M1165" s="3" t="s">
        <v>58</v>
      </c>
      <c r="N1165" s="3" t="s">
        <v>1117</v>
      </c>
      <c r="O1165" s="3">
        <v>0</v>
      </c>
      <c r="P1165" s="3">
        <v>23</v>
      </c>
      <c r="Q1165" s="3" t="s">
        <v>60</v>
      </c>
      <c r="R1165" s="3" t="s">
        <v>61</v>
      </c>
      <c r="S1165" s="3">
        <v>17</v>
      </c>
      <c r="T1165" s="3">
        <v>0</v>
      </c>
      <c r="U1165" s="3">
        <v>17</v>
      </c>
      <c r="V1165" s="3">
        <v>13</v>
      </c>
      <c r="W1165" s="3">
        <v>0</v>
      </c>
      <c r="X1165" s="3" t="s">
        <v>147</v>
      </c>
      <c r="Y1165" s="3">
        <v>0</v>
      </c>
      <c r="Z1165" s="3">
        <v>0</v>
      </c>
      <c r="AA1165" s="3">
        <v>0</v>
      </c>
      <c r="AB1165" s="3">
        <v>0</v>
      </c>
      <c r="AC1165" s="3">
        <v>8</v>
      </c>
      <c r="AD1165" s="3">
        <v>5</v>
      </c>
      <c r="AE1165" s="3">
        <v>14</v>
      </c>
      <c r="AF1165" s="3" t="s">
        <v>0</v>
      </c>
      <c r="AG1165" s="3" t="s">
        <v>49</v>
      </c>
    </row>
    <row r="1166" spans="1:33" ht="25.5" x14ac:dyDescent="0.2">
      <c r="A1166" s="5" t="str">
        <f>HYPERLINK("http://www.patentics.cn/invokexml.do?sf=ShowPatent&amp;spn=CN103782536B&amp;sv=d98a77863bce5f61d026f80242cae83e","CN103782536B")</f>
        <v>CN103782536B</v>
      </c>
      <c r="B1166" s="3" t="s">
        <v>5384</v>
      </c>
      <c r="C1166" s="3" t="s">
        <v>5385</v>
      </c>
      <c r="D1166" s="3" t="s">
        <v>338</v>
      </c>
      <c r="E1166" s="3" t="s">
        <v>338</v>
      </c>
      <c r="F1166" s="3" t="s">
        <v>5386</v>
      </c>
      <c r="G1166" s="3" t="s">
        <v>2480</v>
      </c>
      <c r="H1166" s="3" t="s">
        <v>4267</v>
      </c>
      <c r="I1166" s="3" t="s">
        <v>1755</v>
      </c>
      <c r="J1166" s="3" t="s">
        <v>5387</v>
      </c>
      <c r="K1166" s="3" t="s">
        <v>58</v>
      </c>
      <c r="L1166" s="3" t="s">
        <v>188</v>
      </c>
      <c r="M1166" s="3" t="s">
        <v>0</v>
      </c>
      <c r="N1166" s="3" t="s">
        <v>0</v>
      </c>
      <c r="O1166" s="3">
        <v>33</v>
      </c>
      <c r="P1166" s="3">
        <v>15</v>
      </c>
      <c r="Q1166" s="3" t="s">
        <v>60</v>
      </c>
      <c r="R1166" s="3" t="s">
        <v>61</v>
      </c>
      <c r="S1166" s="3">
        <v>1</v>
      </c>
      <c r="T1166" s="3">
        <v>0</v>
      </c>
      <c r="U1166" s="3">
        <v>1</v>
      </c>
      <c r="V1166" s="3">
        <v>1</v>
      </c>
      <c r="W1166" s="3">
        <v>0</v>
      </c>
      <c r="X1166" s="3" t="s">
        <v>147</v>
      </c>
      <c r="Y1166" s="3">
        <v>0</v>
      </c>
      <c r="Z1166" s="3">
        <v>0</v>
      </c>
      <c r="AA1166" s="3">
        <v>0</v>
      </c>
      <c r="AB1166" s="3">
        <v>0</v>
      </c>
      <c r="AC1166" s="3">
        <v>0</v>
      </c>
      <c r="AD1166" s="3">
        <v>0</v>
      </c>
      <c r="AE1166" s="3">
        <v>14</v>
      </c>
      <c r="AF1166" s="3" t="s">
        <v>0</v>
      </c>
      <c r="AG1166" s="3" t="s">
        <v>49</v>
      </c>
    </row>
    <row r="1167" spans="1:33" ht="51" x14ac:dyDescent="0.2">
      <c r="A1167" s="4" t="str">
        <f>HYPERLINK("http://www.patentics.cn/invokexml.do?sf=ShowPatent&amp;spn=CN101369872&amp;sv=0e5a61e206c1de8a3b3041f57860071f","CN101369872")</f>
        <v>CN101369872</v>
      </c>
      <c r="B1167" s="2" t="s">
        <v>5388</v>
      </c>
      <c r="C1167" s="2" t="s">
        <v>5389</v>
      </c>
      <c r="D1167" s="2" t="s">
        <v>38</v>
      </c>
      <c r="E1167" s="2" t="s">
        <v>38</v>
      </c>
      <c r="F1167" s="2" t="s">
        <v>5390</v>
      </c>
      <c r="G1167" s="2" t="s">
        <v>2491</v>
      </c>
      <c r="H1167" s="2" t="s">
        <v>640</v>
      </c>
      <c r="I1167" s="2" t="s">
        <v>640</v>
      </c>
      <c r="J1167" s="2" t="s">
        <v>302</v>
      </c>
      <c r="K1167" s="2" t="s">
        <v>58</v>
      </c>
      <c r="L1167" s="2" t="s">
        <v>249</v>
      </c>
      <c r="M1167" s="2" t="s">
        <v>0</v>
      </c>
      <c r="N1167" s="2" t="s">
        <v>0</v>
      </c>
      <c r="O1167" s="2">
        <v>14</v>
      </c>
      <c r="P1167" s="2">
        <v>9</v>
      </c>
      <c r="Q1167" s="2" t="s">
        <v>46</v>
      </c>
      <c r="R1167" s="2" t="s">
        <v>47</v>
      </c>
      <c r="S1167" s="2">
        <v>0</v>
      </c>
      <c r="T1167" s="2">
        <v>0</v>
      </c>
      <c r="U1167" s="2">
        <v>0</v>
      </c>
      <c r="V1167" s="2">
        <v>0</v>
      </c>
      <c r="W1167" s="2">
        <v>8</v>
      </c>
      <c r="X1167" s="2" t="s">
        <v>5391</v>
      </c>
      <c r="Y1167" s="2">
        <v>2</v>
      </c>
      <c r="Z1167" s="2">
        <v>6</v>
      </c>
      <c r="AA1167" s="2">
        <v>4</v>
      </c>
      <c r="AB1167" s="2">
        <v>3</v>
      </c>
      <c r="AC1167" s="2">
        <v>1</v>
      </c>
      <c r="AD1167" s="2">
        <v>1</v>
      </c>
      <c r="AE1167" s="2" t="s">
        <v>0</v>
      </c>
      <c r="AF1167" s="2">
        <v>2</v>
      </c>
      <c r="AG1167" s="2" t="s">
        <v>49</v>
      </c>
    </row>
    <row r="1168" spans="1:33" ht="89.25" x14ac:dyDescent="0.2">
      <c r="A1168" s="5" t="str">
        <f>HYPERLINK("http://www.patentics.cn/invokexml.do?sf=ShowPatent&amp;spn=US8964657&amp;sv=3932dc6f70929022f3ed46b3a55da228","US8964657")</f>
        <v>US8964657</v>
      </c>
      <c r="B1168" s="3" t="s">
        <v>5392</v>
      </c>
      <c r="C1168" s="3" t="s">
        <v>5393</v>
      </c>
      <c r="D1168" s="3" t="s">
        <v>52</v>
      </c>
      <c r="E1168" s="3" t="s">
        <v>52</v>
      </c>
      <c r="F1168" s="3" t="s">
        <v>5394</v>
      </c>
      <c r="G1168" s="3" t="s">
        <v>5395</v>
      </c>
      <c r="H1168" s="3" t="s">
        <v>4312</v>
      </c>
      <c r="I1168" s="3" t="s">
        <v>5396</v>
      </c>
      <c r="J1168" s="3" t="s">
        <v>805</v>
      </c>
      <c r="K1168" s="3" t="s">
        <v>82</v>
      </c>
      <c r="L1168" s="3" t="s">
        <v>83</v>
      </c>
      <c r="M1168" s="3" t="s">
        <v>58</v>
      </c>
      <c r="N1168" s="3" t="s">
        <v>2509</v>
      </c>
      <c r="O1168" s="3">
        <v>0</v>
      </c>
      <c r="P1168" s="3">
        <v>12</v>
      </c>
      <c r="Q1168" s="3" t="s">
        <v>60</v>
      </c>
      <c r="R1168" s="3" t="s">
        <v>61</v>
      </c>
      <c r="S1168" s="3">
        <v>14</v>
      </c>
      <c r="T1168" s="3">
        <v>2</v>
      </c>
      <c r="U1168" s="3">
        <v>12</v>
      </c>
      <c r="V1168" s="3">
        <v>9</v>
      </c>
      <c r="W1168" s="3">
        <v>6</v>
      </c>
      <c r="X1168" s="3" t="s">
        <v>147</v>
      </c>
      <c r="Y1168" s="3">
        <v>0</v>
      </c>
      <c r="Z1168" s="3">
        <v>6</v>
      </c>
      <c r="AA1168" s="3">
        <v>0</v>
      </c>
      <c r="AB1168" s="3">
        <v>1</v>
      </c>
      <c r="AC1168" s="3">
        <v>11</v>
      </c>
      <c r="AD1168" s="3">
        <v>7</v>
      </c>
      <c r="AE1168" s="3">
        <v>14</v>
      </c>
      <c r="AF1168" s="3" t="s">
        <v>0</v>
      </c>
      <c r="AG1168" s="3" t="s">
        <v>49</v>
      </c>
    </row>
    <row r="1169" spans="1:33" ht="102" x14ac:dyDescent="0.2">
      <c r="A1169" s="5" t="str">
        <f>HYPERLINK("http://www.patentics.cn/invokexml.do?sf=ShowPatent&amp;spn=WO2011053997&amp;sv=09837bd137fd014a338556194361afe4","WO2011053997")</f>
        <v>WO2011053997</v>
      </c>
      <c r="B1169" s="3" t="s">
        <v>5397</v>
      </c>
      <c r="C1169" s="3" t="s">
        <v>5393</v>
      </c>
      <c r="D1169" s="3" t="s">
        <v>5398</v>
      </c>
      <c r="E1169" s="3" t="s">
        <v>5399</v>
      </c>
      <c r="F1169" s="3" t="s">
        <v>5400</v>
      </c>
      <c r="G1169" s="3" t="s">
        <v>5401</v>
      </c>
      <c r="H1169" s="3" t="s">
        <v>4312</v>
      </c>
      <c r="I1169" s="3" t="s">
        <v>4472</v>
      </c>
      <c r="J1169" s="3" t="s">
        <v>2881</v>
      </c>
      <c r="K1169" s="3" t="s">
        <v>58</v>
      </c>
      <c r="L1169" s="3" t="s">
        <v>188</v>
      </c>
      <c r="M1169" s="3" t="s">
        <v>0</v>
      </c>
      <c r="N1169" s="3" t="s">
        <v>0</v>
      </c>
      <c r="O1169" s="3">
        <v>70</v>
      </c>
      <c r="P1169" s="3">
        <v>11</v>
      </c>
      <c r="Q1169" s="3" t="s">
        <v>352</v>
      </c>
      <c r="R1169" s="3" t="s">
        <v>61</v>
      </c>
      <c r="S1169" s="3">
        <v>6</v>
      </c>
      <c r="T1169" s="3">
        <v>1</v>
      </c>
      <c r="U1169" s="3">
        <v>5</v>
      </c>
      <c r="V1169" s="3">
        <v>5</v>
      </c>
      <c r="W1169" s="3">
        <v>8</v>
      </c>
      <c r="X1169" s="3" t="s">
        <v>2120</v>
      </c>
      <c r="Y1169" s="3">
        <v>0</v>
      </c>
      <c r="Z1169" s="3">
        <v>8</v>
      </c>
      <c r="AA1169" s="3">
        <v>1</v>
      </c>
      <c r="AB1169" s="3">
        <v>2</v>
      </c>
      <c r="AC1169" s="3">
        <v>11</v>
      </c>
      <c r="AD1169" s="3">
        <v>7</v>
      </c>
      <c r="AE1169" s="3">
        <v>14</v>
      </c>
      <c r="AF1169" s="3" t="s">
        <v>0</v>
      </c>
      <c r="AG1169" s="3" t="s">
        <v>0</v>
      </c>
    </row>
    <row r="1170" spans="1:33" ht="25.5" x14ac:dyDescent="0.2">
      <c r="A1170" s="4" t="str">
        <f>HYPERLINK("http://www.patentics.cn/invokexml.do?sf=ShowPatent&amp;spn=CN101370267&amp;sv=6fee473fa035738884984ff97eb7ba48","CN101370267")</f>
        <v>CN101370267</v>
      </c>
      <c r="B1170" s="2" t="s">
        <v>5402</v>
      </c>
      <c r="C1170" s="2" t="s">
        <v>5403</v>
      </c>
      <c r="D1170" s="2" t="s">
        <v>38</v>
      </c>
      <c r="E1170" s="2" t="s">
        <v>38</v>
      </c>
      <c r="F1170" s="2" t="s">
        <v>5404</v>
      </c>
      <c r="G1170" s="2" t="s">
        <v>5404</v>
      </c>
      <c r="H1170" s="2" t="s">
        <v>5405</v>
      </c>
      <c r="I1170" s="2" t="s">
        <v>5405</v>
      </c>
      <c r="J1170" s="2" t="s">
        <v>302</v>
      </c>
      <c r="K1170" s="2" t="s">
        <v>43</v>
      </c>
      <c r="L1170" s="2" t="s">
        <v>2591</v>
      </c>
      <c r="M1170" s="2" t="s">
        <v>0</v>
      </c>
      <c r="N1170" s="2" t="s">
        <v>0</v>
      </c>
      <c r="O1170" s="2">
        <v>11</v>
      </c>
      <c r="P1170" s="2">
        <v>16</v>
      </c>
      <c r="Q1170" s="2" t="s">
        <v>46</v>
      </c>
      <c r="R1170" s="2" t="s">
        <v>47</v>
      </c>
      <c r="S1170" s="2">
        <v>0</v>
      </c>
      <c r="T1170" s="2">
        <v>0</v>
      </c>
      <c r="U1170" s="2">
        <v>0</v>
      </c>
      <c r="V1170" s="2">
        <v>0</v>
      </c>
      <c r="W1170" s="2">
        <v>16</v>
      </c>
      <c r="X1170" s="2" t="s">
        <v>5406</v>
      </c>
      <c r="Y1170" s="2">
        <v>3</v>
      </c>
      <c r="Z1170" s="2">
        <v>13</v>
      </c>
      <c r="AA1170" s="2">
        <v>5</v>
      </c>
      <c r="AB1170" s="2">
        <v>3</v>
      </c>
      <c r="AC1170" s="2">
        <v>1</v>
      </c>
      <c r="AD1170" s="2">
        <v>1</v>
      </c>
      <c r="AE1170" s="2" t="s">
        <v>0</v>
      </c>
      <c r="AF1170" s="2">
        <v>2</v>
      </c>
      <c r="AG1170" s="2" t="s">
        <v>49</v>
      </c>
    </row>
    <row r="1171" spans="1:33" ht="63.75" x14ac:dyDescent="0.2">
      <c r="A1171" s="5" t="str">
        <f>HYPERLINK("http://www.patentics.cn/invokexml.do?sf=ShowPatent&amp;spn=US8798030&amp;sv=faacea3b7116fe4a1f30716add0cf357","US8798030")</f>
        <v>US8798030</v>
      </c>
      <c r="B1171" s="3" t="s">
        <v>5407</v>
      </c>
      <c r="C1171" s="3" t="s">
        <v>5408</v>
      </c>
      <c r="D1171" s="3" t="s">
        <v>52</v>
      </c>
      <c r="E1171" s="3" t="s">
        <v>52</v>
      </c>
      <c r="F1171" s="3" t="s">
        <v>1457</v>
      </c>
      <c r="G1171" s="3" t="s">
        <v>1458</v>
      </c>
      <c r="H1171" s="3" t="s">
        <v>5409</v>
      </c>
      <c r="I1171" s="3" t="s">
        <v>5410</v>
      </c>
      <c r="J1171" s="3" t="s">
        <v>1038</v>
      </c>
      <c r="K1171" s="3" t="s">
        <v>82</v>
      </c>
      <c r="L1171" s="3" t="s">
        <v>2222</v>
      </c>
      <c r="M1171" s="3" t="s">
        <v>84</v>
      </c>
      <c r="N1171" s="3" t="s">
        <v>5411</v>
      </c>
      <c r="O1171" s="3">
        <v>0</v>
      </c>
      <c r="P1171" s="3">
        <v>12</v>
      </c>
      <c r="Q1171" s="3" t="s">
        <v>60</v>
      </c>
      <c r="R1171" s="3" t="s">
        <v>61</v>
      </c>
      <c r="S1171" s="3">
        <v>11</v>
      </c>
      <c r="T1171" s="3">
        <v>1</v>
      </c>
      <c r="U1171" s="3">
        <v>10</v>
      </c>
      <c r="V1171" s="3">
        <v>10</v>
      </c>
      <c r="W1171" s="3">
        <v>0</v>
      </c>
      <c r="X1171" s="3" t="s">
        <v>147</v>
      </c>
      <c r="Y1171" s="3">
        <v>0</v>
      </c>
      <c r="Z1171" s="3">
        <v>0</v>
      </c>
      <c r="AA1171" s="3">
        <v>0</v>
      </c>
      <c r="AB1171" s="3">
        <v>0</v>
      </c>
      <c r="AC1171" s="3">
        <v>3</v>
      </c>
      <c r="AD1171" s="3">
        <v>3</v>
      </c>
      <c r="AE1171" s="3">
        <v>14</v>
      </c>
      <c r="AF1171" s="3" t="s">
        <v>0</v>
      </c>
      <c r="AG1171" s="3" t="s">
        <v>49</v>
      </c>
    </row>
    <row r="1172" spans="1:33" ht="25.5" x14ac:dyDescent="0.2">
      <c r="A1172" s="5" t="str">
        <f>HYPERLINK("http://www.patentics.cn/invokexml.do?sf=ShowPatent&amp;spn=CN102318415B&amp;sv=be26693f0409d1bca4587891d2412ff8","CN102318415B")</f>
        <v>CN102318415B</v>
      </c>
      <c r="B1172" s="3" t="s">
        <v>5412</v>
      </c>
      <c r="C1172" s="3" t="s">
        <v>5413</v>
      </c>
      <c r="D1172" s="3" t="s">
        <v>338</v>
      </c>
      <c r="E1172" s="3" t="s">
        <v>338</v>
      </c>
      <c r="F1172" s="3" t="s">
        <v>4119</v>
      </c>
      <c r="G1172" s="3" t="s">
        <v>4120</v>
      </c>
      <c r="H1172" s="3" t="s">
        <v>5410</v>
      </c>
      <c r="I1172" s="3" t="s">
        <v>957</v>
      </c>
      <c r="J1172" s="3" t="s">
        <v>5414</v>
      </c>
      <c r="K1172" s="3" t="s">
        <v>82</v>
      </c>
      <c r="L1172" s="3" t="s">
        <v>2222</v>
      </c>
      <c r="M1172" s="3" t="s">
        <v>0</v>
      </c>
      <c r="N1172" s="3" t="s">
        <v>0</v>
      </c>
      <c r="O1172" s="3">
        <v>9</v>
      </c>
      <c r="P1172" s="3">
        <v>17</v>
      </c>
      <c r="Q1172" s="3" t="s">
        <v>60</v>
      </c>
      <c r="R1172" s="3" t="s">
        <v>61</v>
      </c>
      <c r="S1172" s="3">
        <v>6</v>
      </c>
      <c r="T1172" s="3">
        <v>0</v>
      </c>
      <c r="U1172" s="3">
        <v>6</v>
      </c>
      <c r="V1172" s="3">
        <v>6</v>
      </c>
      <c r="W1172" s="3">
        <v>0</v>
      </c>
      <c r="X1172" s="3" t="s">
        <v>147</v>
      </c>
      <c r="Y1172" s="3">
        <v>0</v>
      </c>
      <c r="Z1172" s="3">
        <v>0</v>
      </c>
      <c r="AA1172" s="3">
        <v>0</v>
      </c>
      <c r="AB1172" s="3">
        <v>0</v>
      </c>
      <c r="AC1172" s="3">
        <v>2</v>
      </c>
      <c r="AD1172" s="3">
        <v>1</v>
      </c>
      <c r="AE1172" s="3">
        <v>14</v>
      </c>
      <c r="AF1172" s="3" t="s">
        <v>0</v>
      </c>
      <c r="AG1172" s="3" t="s">
        <v>49</v>
      </c>
    </row>
    <row r="1173" spans="1:33" x14ac:dyDescent="0.2">
      <c r="A1173" s="4" t="str">
        <f>HYPERLINK("http://www.patentics.cn/invokexml.do?sf=ShowPatent&amp;spn=CN101350760&amp;sv=b76875e210cf1330840c0558337f7fcd","CN101350760")</f>
        <v>CN101350760</v>
      </c>
      <c r="B1173" s="2" t="s">
        <v>5415</v>
      </c>
      <c r="C1173" s="2" t="s">
        <v>5416</v>
      </c>
      <c r="D1173" s="2" t="s">
        <v>38</v>
      </c>
      <c r="E1173" s="2" t="s">
        <v>38</v>
      </c>
      <c r="F1173" s="2" t="s">
        <v>5417</v>
      </c>
      <c r="G1173" s="2" t="s">
        <v>5417</v>
      </c>
      <c r="H1173" s="2" t="s">
        <v>5418</v>
      </c>
      <c r="I1173" s="2" t="s">
        <v>5418</v>
      </c>
      <c r="J1173" s="2" t="s">
        <v>2455</v>
      </c>
      <c r="K1173" s="2" t="s">
        <v>58</v>
      </c>
      <c r="L1173" s="2" t="s">
        <v>5419</v>
      </c>
      <c r="M1173" s="2" t="s">
        <v>0</v>
      </c>
      <c r="N1173" s="2" t="s">
        <v>0</v>
      </c>
      <c r="O1173" s="2">
        <v>7</v>
      </c>
      <c r="P1173" s="2">
        <v>26</v>
      </c>
      <c r="Q1173" s="2" t="s">
        <v>46</v>
      </c>
      <c r="R1173" s="2" t="s">
        <v>47</v>
      </c>
      <c r="S1173" s="2">
        <v>0</v>
      </c>
      <c r="T1173" s="2">
        <v>0</v>
      </c>
      <c r="U1173" s="2">
        <v>0</v>
      </c>
      <c r="V1173" s="2">
        <v>0</v>
      </c>
      <c r="W1173" s="2">
        <v>2</v>
      </c>
      <c r="X1173" s="2" t="s">
        <v>523</v>
      </c>
      <c r="Y1173" s="2">
        <v>0</v>
      </c>
      <c r="Z1173" s="2">
        <v>2</v>
      </c>
      <c r="AA1173" s="2">
        <v>1</v>
      </c>
      <c r="AB1173" s="2">
        <v>1</v>
      </c>
      <c r="AC1173" s="2">
        <v>1</v>
      </c>
      <c r="AD1173" s="2">
        <v>1</v>
      </c>
      <c r="AE1173" s="2" t="s">
        <v>0</v>
      </c>
      <c r="AF1173" s="2">
        <v>2</v>
      </c>
      <c r="AG1173" s="2" t="s">
        <v>49</v>
      </c>
    </row>
    <row r="1174" spans="1:33" ht="25.5" x14ac:dyDescent="0.2">
      <c r="A1174" s="5" t="str">
        <f>HYPERLINK("http://www.patentics.cn/invokexml.do?sf=ShowPatent&amp;spn=US9065677&amp;sv=cc015371c0890767c32358454aa4dba7","US9065677")</f>
        <v>US9065677</v>
      </c>
      <c r="B1174" s="3" t="s">
        <v>4573</v>
      </c>
      <c r="C1174" s="3" t="s">
        <v>4574</v>
      </c>
      <c r="D1174" s="3" t="s">
        <v>52</v>
      </c>
      <c r="E1174" s="3" t="s">
        <v>52</v>
      </c>
      <c r="F1174" s="3" t="s">
        <v>4575</v>
      </c>
      <c r="G1174" s="3" t="s">
        <v>4575</v>
      </c>
      <c r="H1174" s="3" t="s">
        <v>4576</v>
      </c>
      <c r="I1174" s="3" t="s">
        <v>4576</v>
      </c>
      <c r="J1174" s="3" t="s">
        <v>1596</v>
      </c>
      <c r="K1174" s="3" t="s">
        <v>58</v>
      </c>
      <c r="L1174" s="3" t="s">
        <v>289</v>
      </c>
      <c r="M1174" s="3" t="s">
        <v>0</v>
      </c>
      <c r="N1174" s="3" t="s">
        <v>0</v>
      </c>
      <c r="O1174" s="3">
        <v>0</v>
      </c>
      <c r="P1174" s="3">
        <v>8</v>
      </c>
      <c r="Q1174" s="3" t="s">
        <v>60</v>
      </c>
      <c r="R1174" s="3" t="s">
        <v>61</v>
      </c>
      <c r="S1174" s="3">
        <v>16</v>
      </c>
      <c r="T1174" s="3">
        <v>2</v>
      </c>
      <c r="U1174" s="3">
        <v>14</v>
      </c>
      <c r="V1174" s="3">
        <v>9</v>
      </c>
      <c r="W1174" s="3">
        <v>0</v>
      </c>
      <c r="X1174" s="3" t="s">
        <v>147</v>
      </c>
      <c r="Y1174" s="3">
        <v>0</v>
      </c>
      <c r="Z1174" s="3">
        <v>0</v>
      </c>
      <c r="AA1174" s="3">
        <v>0</v>
      </c>
      <c r="AB1174" s="3">
        <v>0</v>
      </c>
      <c r="AC1174" s="3">
        <v>6</v>
      </c>
      <c r="AD1174" s="3">
        <v>4</v>
      </c>
      <c r="AE1174" s="3">
        <v>14</v>
      </c>
      <c r="AF1174" s="3" t="s">
        <v>0</v>
      </c>
      <c r="AG1174" s="3" t="s">
        <v>49</v>
      </c>
    </row>
    <row r="1175" spans="1:33" ht="38.25" x14ac:dyDescent="0.2">
      <c r="A1175" s="5" t="str">
        <f>HYPERLINK("http://www.patentics.cn/invokexml.do?sf=ShowPatent&amp;spn=US9294309&amp;sv=26d0191dbf9307ec78bfc3ef15368a77","US9294309")</f>
        <v>US9294309</v>
      </c>
      <c r="B1175" s="3" t="s">
        <v>4577</v>
      </c>
      <c r="C1175" s="3" t="s">
        <v>4574</v>
      </c>
      <c r="D1175" s="3" t="s">
        <v>52</v>
      </c>
      <c r="E1175" s="3" t="s">
        <v>52</v>
      </c>
      <c r="F1175" s="3" t="s">
        <v>4578</v>
      </c>
      <c r="G1175" s="3" t="s">
        <v>4578</v>
      </c>
      <c r="H1175" s="3" t="s">
        <v>4576</v>
      </c>
      <c r="I1175" s="3" t="s">
        <v>4579</v>
      </c>
      <c r="J1175" s="3" t="s">
        <v>696</v>
      </c>
      <c r="K1175" s="3" t="s">
        <v>58</v>
      </c>
      <c r="L1175" s="3" t="s">
        <v>289</v>
      </c>
      <c r="M1175" s="3" t="s">
        <v>58</v>
      </c>
      <c r="N1175" s="3" t="s">
        <v>4580</v>
      </c>
      <c r="O1175" s="3">
        <v>0</v>
      </c>
      <c r="P1175" s="3">
        <v>10</v>
      </c>
      <c r="Q1175" s="3" t="s">
        <v>60</v>
      </c>
      <c r="R1175" s="3" t="s">
        <v>61</v>
      </c>
      <c r="S1175" s="3">
        <v>24</v>
      </c>
      <c r="T1175" s="3">
        <v>3</v>
      </c>
      <c r="U1175" s="3">
        <v>21</v>
      </c>
      <c r="V1175" s="3">
        <v>13</v>
      </c>
      <c r="W1175" s="3">
        <v>0</v>
      </c>
      <c r="X1175" s="3" t="s">
        <v>147</v>
      </c>
      <c r="Y1175" s="3">
        <v>0</v>
      </c>
      <c r="Z1175" s="3">
        <v>0</v>
      </c>
      <c r="AA1175" s="3">
        <v>0</v>
      </c>
      <c r="AB1175" s="3">
        <v>0</v>
      </c>
      <c r="AC1175" s="3">
        <v>6</v>
      </c>
      <c r="AD1175" s="3">
        <v>4</v>
      </c>
      <c r="AE1175" s="3">
        <v>14</v>
      </c>
      <c r="AF1175" s="3" t="s">
        <v>0</v>
      </c>
      <c r="AG1175" s="3" t="s">
        <v>49</v>
      </c>
    </row>
    <row r="1176" spans="1:33" ht="51" x14ac:dyDescent="0.2">
      <c r="A1176" s="4" t="str">
        <f>HYPERLINK("http://www.patentics.cn/invokexml.do?sf=ShowPatent&amp;spn=CN101335969&amp;sv=5f3595545556940b63d61f534e0aa73a","CN101335969")</f>
        <v>CN101335969</v>
      </c>
      <c r="B1176" s="2" t="s">
        <v>5420</v>
      </c>
      <c r="C1176" s="2" t="s">
        <v>5421</v>
      </c>
      <c r="D1176" s="2" t="s">
        <v>38</v>
      </c>
      <c r="E1176" s="2" t="s">
        <v>38</v>
      </c>
      <c r="F1176" s="2" t="s">
        <v>5422</v>
      </c>
      <c r="G1176" s="2" t="s">
        <v>5303</v>
      </c>
      <c r="H1176" s="2" t="s">
        <v>5423</v>
      </c>
      <c r="I1176" s="2" t="s">
        <v>5423</v>
      </c>
      <c r="J1176" s="2" t="s">
        <v>536</v>
      </c>
      <c r="K1176" s="2" t="s">
        <v>43</v>
      </c>
      <c r="L1176" s="2" t="s">
        <v>5424</v>
      </c>
      <c r="M1176" s="2" t="s">
        <v>0</v>
      </c>
      <c r="N1176" s="2" t="s">
        <v>0</v>
      </c>
      <c r="O1176" s="2">
        <v>12</v>
      </c>
      <c r="P1176" s="2">
        <v>30</v>
      </c>
      <c r="Q1176" s="2" t="s">
        <v>46</v>
      </c>
      <c r="R1176" s="2" t="s">
        <v>47</v>
      </c>
      <c r="S1176" s="2">
        <v>0</v>
      </c>
      <c r="T1176" s="2">
        <v>0</v>
      </c>
      <c r="U1176" s="2">
        <v>0</v>
      </c>
      <c r="V1176" s="2">
        <v>0</v>
      </c>
      <c r="W1176" s="2">
        <v>24</v>
      </c>
      <c r="X1176" s="2" t="s">
        <v>5127</v>
      </c>
      <c r="Y1176" s="2">
        <v>9</v>
      </c>
      <c r="Z1176" s="2">
        <v>15</v>
      </c>
      <c r="AA1176" s="2">
        <v>6</v>
      </c>
      <c r="AB1176" s="2">
        <v>4</v>
      </c>
      <c r="AC1176" s="2">
        <v>13</v>
      </c>
      <c r="AD1176" s="2">
        <v>7</v>
      </c>
      <c r="AE1176" s="2" t="s">
        <v>0</v>
      </c>
      <c r="AF1176" s="2">
        <v>2</v>
      </c>
      <c r="AG1176" s="2" t="s">
        <v>49</v>
      </c>
    </row>
    <row r="1177" spans="1:33" ht="51" x14ac:dyDescent="0.2">
      <c r="A1177" s="5" t="str">
        <f>HYPERLINK("http://www.patentics.cn/invokexml.do?sf=ShowPatent&amp;spn=US8964621&amp;sv=b7e882c0139dd71bb191d7c63b44fb05","US8964621")</f>
        <v>US8964621</v>
      </c>
      <c r="B1177" s="3" t="s">
        <v>5425</v>
      </c>
      <c r="C1177" s="3" t="s">
        <v>5426</v>
      </c>
      <c r="D1177" s="3" t="s">
        <v>52</v>
      </c>
      <c r="E1177" s="3" t="s">
        <v>52</v>
      </c>
      <c r="F1177" s="3" t="s">
        <v>5427</v>
      </c>
      <c r="G1177" s="3" t="s">
        <v>5428</v>
      </c>
      <c r="H1177" s="3" t="s">
        <v>5429</v>
      </c>
      <c r="I1177" s="3" t="s">
        <v>3801</v>
      </c>
      <c r="J1177" s="3" t="s">
        <v>805</v>
      </c>
      <c r="K1177" s="3" t="s">
        <v>1246</v>
      </c>
      <c r="L1177" s="3" t="s">
        <v>5430</v>
      </c>
      <c r="M1177" s="3" t="s">
        <v>58</v>
      </c>
      <c r="N1177" s="3" t="s">
        <v>335</v>
      </c>
      <c r="O1177" s="3">
        <v>0</v>
      </c>
      <c r="P1177" s="3">
        <v>9</v>
      </c>
      <c r="Q1177" s="3" t="s">
        <v>60</v>
      </c>
      <c r="R1177" s="3" t="s">
        <v>61</v>
      </c>
      <c r="S1177" s="3">
        <v>37</v>
      </c>
      <c r="T1177" s="3">
        <v>11</v>
      </c>
      <c r="U1177" s="3">
        <v>26</v>
      </c>
      <c r="V1177" s="3">
        <v>13</v>
      </c>
      <c r="W1177" s="3">
        <v>0</v>
      </c>
      <c r="X1177" s="3" t="s">
        <v>147</v>
      </c>
      <c r="Y1177" s="3">
        <v>0</v>
      </c>
      <c r="Z1177" s="3">
        <v>0</v>
      </c>
      <c r="AA1177" s="3">
        <v>0</v>
      </c>
      <c r="AB1177" s="3">
        <v>0</v>
      </c>
      <c r="AC1177" s="3">
        <v>6</v>
      </c>
      <c r="AD1177" s="3">
        <v>6</v>
      </c>
      <c r="AE1177" s="3">
        <v>14</v>
      </c>
      <c r="AF1177" s="3" t="s">
        <v>0</v>
      </c>
      <c r="AG1177" s="3" t="s">
        <v>49</v>
      </c>
    </row>
    <row r="1178" spans="1:33" ht="25.5" x14ac:dyDescent="0.2">
      <c r="A1178" s="5" t="str">
        <f>HYPERLINK("http://www.patentics.cn/invokexml.do?sf=ShowPatent&amp;spn=CN102422587B&amp;sv=9d80a49a1dcd413f20e0620994029909","CN102422587B")</f>
        <v>CN102422587B</v>
      </c>
      <c r="B1178" s="3" t="s">
        <v>5431</v>
      </c>
      <c r="C1178" s="3" t="s">
        <v>5432</v>
      </c>
      <c r="D1178" s="3" t="s">
        <v>338</v>
      </c>
      <c r="E1178" s="3" t="s">
        <v>338</v>
      </c>
      <c r="F1178" s="3" t="s">
        <v>5433</v>
      </c>
      <c r="G1178" s="3" t="s">
        <v>3089</v>
      </c>
      <c r="H1178" s="3" t="s">
        <v>5429</v>
      </c>
      <c r="I1178" s="3" t="s">
        <v>2176</v>
      </c>
      <c r="J1178" s="3" t="s">
        <v>5434</v>
      </c>
      <c r="K1178" s="3" t="s">
        <v>58</v>
      </c>
      <c r="L1178" s="3" t="s">
        <v>188</v>
      </c>
      <c r="M1178" s="3" t="s">
        <v>0</v>
      </c>
      <c r="N1178" s="3" t="s">
        <v>0</v>
      </c>
      <c r="O1178" s="3">
        <v>25</v>
      </c>
      <c r="P1178" s="3">
        <v>9</v>
      </c>
      <c r="Q1178" s="3" t="s">
        <v>60</v>
      </c>
      <c r="R1178" s="3" t="s">
        <v>61</v>
      </c>
      <c r="S1178" s="3">
        <v>3</v>
      </c>
      <c r="T1178" s="3">
        <v>0</v>
      </c>
      <c r="U1178" s="3">
        <v>3</v>
      </c>
      <c r="V1178" s="3">
        <v>2</v>
      </c>
      <c r="W1178" s="3">
        <v>0</v>
      </c>
      <c r="X1178" s="3" t="s">
        <v>147</v>
      </c>
      <c r="Y1178" s="3">
        <v>0</v>
      </c>
      <c r="Z1178" s="3">
        <v>0</v>
      </c>
      <c r="AA1178" s="3">
        <v>0</v>
      </c>
      <c r="AB1178" s="3">
        <v>0</v>
      </c>
      <c r="AC1178" s="3">
        <v>0</v>
      </c>
      <c r="AD1178" s="3">
        <v>0</v>
      </c>
      <c r="AE1178" s="3">
        <v>14</v>
      </c>
      <c r="AF1178" s="3" t="s">
        <v>0</v>
      </c>
      <c r="AG1178" s="3" t="s">
        <v>49</v>
      </c>
    </row>
    <row r="1179" spans="1:33" ht="25.5" x14ac:dyDescent="0.2">
      <c r="A1179" s="4" t="str">
        <f>HYPERLINK("http://www.patentics.cn/invokexml.do?sf=ShowPatent&amp;spn=CN101308661&amp;sv=881ad0f920e3cb6254c9a539a7dabbb0","CN101308661")</f>
        <v>CN101308661</v>
      </c>
      <c r="B1179" s="2" t="s">
        <v>5435</v>
      </c>
      <c r="C1179" s="2" t="s">
        <v>5436</v>
      </c>
      <c r="D1179" s="2" t="s">
        <v>38</v>
      </c>
      <c r="E1179" s="2" t="s">
        <v>38</v>
      </c>
      <c r="F1179" s="2" t="s">
        <v>5437</v>
      </c>
      <c r="G1179" s="2" t="s">
        <v>5438</v>
      </c>
      <c r="H1179" s="2" t="s">
        <v>5439</v>
      </c>
      <c r="I1179" s="2" t="s">
        <v>5440</v>
      </c>
      <c r="J1179" s="2" t="s">
        <v>5441</v>
      </c>
      <c r="K1179" s="2" t="s">
        <v>5442</v>
      </c>
      <c r="L1179" s="2" t="s">
        <v>5443</v>
      </c>
      <c r="M1179" s="2" t="s">
        <v>0</v>
      </c>
      <c r="N1179" s="2" t="s">
        <v>0</v>
      </c>
      <c r="O1179" s="2">
        <v>10</v>
      </c>
      <c r="P1179" s="2">
        <v>18</v>
      </c>
      <c r="Q1179" s="2" t="s">
        <v>46</v>
      </c>
      <c r="R1179" s="2" t="s">
        <v>47</v>
      </c>
      <c r="S1179" s="2">
        <v>0</v>
      </c>
      <c r="T1179" s="2">
        <v>0</v>
      </c>
      <c r="U1179" s="2">
        <v>0</v>
      </c>
      <c r="V1179" s="2">
        <v>0</v>
      </c>
      <c r="W1179" s="2">
        <v>3</v>
      </c>
      <c r="X1179" s="2" t="s">
        <v>5160</v>
      </c>
      <c r="Y1179" s="2">
        <v>0</v>
      </c>
      <c r="Z1179" s="2">
        <v>3</v>
      </c>
      <c r="AA1179" s="2">
        <v>2</v>
      </c>
      <c r="AB1179" s="2">
        <v>2</v>
      </c>
      <c r="AC1179" s="2">
        <v>3</v>
      </c>
      <c r="AD1179" s="2">
        <v>1</v>
      </c>
      <c r="AE1179" s="2" t="s">
        <v>0</v>
      </c>
      <c r="AF1179" s="2">
        <v>2</v>
      </c>
      <c r="AG1179" s="2" t="s">
        <v>49</v>
      </c>
    </row>
    <row r="1180" spans="1:33" ht="89.25" x14ac:dyDescent="0.2">
      <c r="A1180" s="5" t="str">
        <f>HYPERLINK("http://www.patentics.cn/invokexml.do?sf=ShowPatent&amp;spn=US8781822&amp;sv=f8f49389b258e296ba6a6c96786fecab","US8781822")</f>
        <v>US8781822</v>
      </c>
      <c r="B1180" s="3" t="s">
        <v>5444</v>
      </c>
      <c r="C1180" s="3" t="s">
        <v>5445</v>
      </c>
      <c r="D1180" s="3" t="s">
        <v>52</v>
      </c>
      <c r="E1180" s="3" t="s">
        <v>52</v>
      </c>
      <c r="F1180" s="3" t="s">
        <v>5446</v>
      </c>
      <c r="G1180" s="3" t="s">
        <v>5447</v>
      </c>
      <c r="H1180" s="3" t="s">
        <v>2108</v>
      </c>
      <c r="I1180" s="3" t="s">
        <v>5448</v>
      </c>
      <c r="J1180" s="3" t="s">
        <v>2618</v>
      </c>
      <c r="K1180" s="3" t="s">
        <v>5442</v>
      </c>
      <c r="L1180" s="3" t="s">
        <v>5449</v>
      </c>
      <c r="M1180" s="3" t="s">
        <v>5442</v>
      </c>
      <c r="N1180" s="3" t="s">
        <v>5450</v>
      </c>
      <c r="O1180" s="3">
        <v>0</v>
      </c>
      <c r="P1180" s="3">
        <v>13</v>
      </c>
      <c r="Q1180" s="3" t="s">
        <v>60</v>
      </c>
      <c r="R1180" s="3" t="s">
        <v>61</v>
      </c>
      <c r="S1180" s="3">
        <v>17</v>
      </c>
      <c r="T1180" s="3">
        <v>1</v>
      </c>
      <c r="U1180" s="3">
        <v>16</v>
      </c>
      <c r="V1180" s="3">
        <v>15</v>
      </c>
      <c r="W1180" s="3">
        <v>0</v>
      </c>
      <c r="X1180" s="3" t="s">
        <v>147</v>
      </c>
      <c r="Y1180" s="3">
        <v>0</v>
      </c>
      <c r="Z1180" s="3">
        <v>0</v>
      </c>
      <c r="AA1180" s="3">
        <v>0</v>
      </c>
      <c r="AB1180" s="3">
        <v>0</v>
      </c>
      <c r="AC1180" s="3">
        <v>9</v>
      </c>
      <c r="AD1180" s="3">
        <v>6</v>
      </c>
      <c r="AE1180" s="3">
        <v>14</v>
      </c>
      <c r="AF1180" s="3" t="s">
        <v>0</v>
      </c>
      <c r="AG1180" s="3" t="s">
        <v>49</v>
      </c>
    </row>
    <row r="1181" spans="1:33" ht="51" x14ac:dyDescent="0.2">
      <c r="A1181" s="5" t="str">
        <f>HYPERLINK("http://www.patentics.cn/invokexml.do?sf=ShowPatent&amp;spn=CN102714037B&amp;sv=6ae5982917108a4c6274d959b7fe16d1","CN102714037B")</f>
        <v>CN102714037B</v>
      </c>
      <c r="B1181" s="3" t="s">
        <v>5451</v>
      </c>
      <c r="C1181" s="3" t="s">
        <v>5452</v>
      </c>
      <c r="D1181" s="3" t="s">
        <v>338</v>
      </c>
      <c r="E1181" s="3" t="s">
        <v>338</v>
      </c>
      <c r="F1181" s="3" t="s">
        <v>5453</v>
      </c>
      <c r="G1181" s="3" t="s">
        <v>5454</v>
      </c>
      <c r="H1181" s="3" t="s">
        <v>2108</v>
      </c>
      <c r="I1181" s="3" t="s">
        <v>3784</v>
      </c>
      <c r="J1181" s="3" t="s">
        <v>5455</v>
      </c>
      <c r="K1181" s="3" t="s">
        <v>5442</v>
      </c>
      <c r="L1181" s="3" t="s">
        <v>5456</v>
      </c>
      <c r="M1181" s="3" t="s">
        <v>0</v>
      </c>
      <c r="N1181" s="3" t="s">
        <v>0</v>
      </c>
      <c r="O1181" s="3">
        <v>22</v>
      </c>
      <c r="P1181" s="3">
        <v>11</v>
      </c>
      <c r="Q1181" s="3" t="s">
        <v>60</v>
      </c>
      <c r="R1181" s="3" t="s">
        <v>61</v>
      </c>
      <c r="S1181" s="3">
        <v>4</v>
      </c>
      <c r="T1181" s="3">
        <v>0</v>
      </c>
      <c r="U1181" s="3">
        <v>4</v>
      </c>
      <c r="V1181" s="3">
        <v>4</v>
      </c>
      <c r="W1181" s="3">
        <v>0</v>
      </c>
      <c r="X1181" s="3" t="s">
        <v>147</v>
      </c>
      <c r="Y1181" s="3">
        <v>0</v>
      </c>
      <c r="Z1181" s="3">
        <v>0</v>
      </c>
      <c r="AA1181" s="3">
        <v>0</v>
      </c>
      <c r="AB1181" s="3">
        <v>0</v>
      </c>
      <c r="AC1181" s="3">
        <v>9</v>
      </c>
      <c r="AD1181" s="3">
        <v>6</v>
      </c>
      <c r="AE1181" s="3">
        <v>14</v>
      </c>
      <c r="AF1181" s="3" t="s">
        <v>0</v>
      </c>
      <c r="AG1181" s="3" t="s">
        <v>49</v>
      </c>
    </row>
    <row r="1182" spans="1:33" ht="25.5" x14ac:dyDescent="0.2">
      <c r="A1182" s="4" t="str">
        <f>HYPERLINK("http://www.patentics.cn/invokexml.do?sf=ShowPatent&amp;spn=CN101296451&amp;sv=5ce48493888fd7bd8dbc59bbaaa31f89","CN101296451")</f>
        <v>CN101296451</v>
      </c>
      <c r="B1182" s="2" t="s">
        <v>5457</v>
      </c>
      <c r="C1182" s="2" t="s">
        <v>5458</v>
      </c>
      <c r="D1182" s="2" t="s">
        <v>38</v>
      </c>
      <c r="E1182" s="2" t="s">
        <v>38</v>
      </c>
      <c r="F1182" s="2" t="s">
        <v>5459</v>
      </c>
      <c r="G1182" s="2" t="s">
        <v>5459</v>
      </c>
      <c r="H1182" s="2" t="s">
        <v>5460</v>
      </c>
      <c r="I1182" s="2" t="s">
        <v>5460</v>
      </c>
      <c r="J1182" s="2" t="s">
        <v>2780</v>
      </c>
      <c r="K1182" s="2" t="s">
        <v>43</v>
      </c>
      <c r="L1182" s="2" t="s">
        <v>2062</v>
      </c>
      <c r="M1182" s="2" t="s">
        <v>0</v>
      </c>
      <c r="N1182" s="2" t="s">
        <v>0</v>
      </c>
      <c r="O1182" s="2">
        <v>11</v>
      </c>
      <c r="P1182" s="2">
        <v>20</v>
      </c>
      <c r="Q1182" s="2" t="s">
        <v>46</v>
      </c>
      <c r="R1182" s="2" t="s">
        <v>47</v>
      </c>
      <c r="S1182" s="2">
        <v>0</v>
      </c>
      <c r="T1182" s="2">
        <v>0</v>
      </c>
      <c r="U1182" s="2">
        <v>0</v>
      </c>
      <c r="V1182" s="2">
        <v>0</v>
      </c>
      <c r="W1182" s="2">
        <v>50</v>
      </c>
      <c r="X1182" s="2" t="s">
        <v>5461</v>
      </c>
      <c r="Y1182" s="2">
        <v>18</v>
      </c>
      <c r="Z1182" s="2">
        <v>32</v>
      </c>
      <c r="AA1182" s="2">
        <v>9</v>
      </c>
      <c r="AB1182" s="2">
        <v>4</v>
      </c>
      <c r="AC1182" s="2">
        <v>1</v>
      </c>
      <c r="AD1182" s="2">
        <v>1</v>
      </c>
      <c r="AE1182" s="2" t="s">
        <v>0</v>
      </c>
      <c r="AF1182" s="2">
        <v>2</v>
      </c>
      <c r="AG1182" s="2" t="s">
        <v>49</v>
      </c>
    </row>
    <row r="1183" spans="1:33" ht="76.5" x14ac:dyDescent="0.2">
      <c r="A1183" s="5" t="str">
        <f>HYPERLINK("http://www.patentics.cn/invokexml.do?sf=ShowPatent&amp;spn=US8731551&amp;sv=4e270e5593d6a50fe0385a2b9a854120","US8731551")</f>
        <v>US8731551</v>
      </c>
      <c r="B1183" s="3" t="s">
        <v>5462</v>
      </c>
      <c r="C1183" s="3" t="s">
        <v>5463</v>
      </c>
      <c r="D1183" s="3" t="s">
        <v>52</v>
      </c>
      <c r="E1183" s="3" t="s">
        <v>52</v>
      </c>
      <c r="F1183" s="3" t="s">
        <v>5464</v>
      </c>
      <c r="G1183" s="3" t="s">
        <v>3015</v>
      </c>
      <c r="H1183" s="3" t="s">
        <v>5465</v>
      </c>
      <c r="I1183" s="3" t="s">
        <v>3728</v>
      </c>
      <c r="J1183" s="3" t="s">
        <v>4687</v>
      </c>
      <c r="K1183" s="3" t="s">
        <v>82</v>
      </c>
      <c r="L1183" s="3" t="s">
        <v>83</v>
      </c>
      <c r="M1183" s="3" t="s">
        <v>58</v>
      </c>
      <c r="N1183" s="3" t="s">
        <v>5466</v>
      </c>
      <c r="O1183" s="3">
        <v>0</v>
      </c>
      <c r="P1183" s="3">
        <v>14</v>
      </c>
      <c r="Q1183" s="3" t="s">
        <v>60</v>
      </c>
      <c r="R1183" s="3" t="s">
        <v>61</v>
      </c>
      <c r="S1183" s="3">
        <v>54</v>
      </c>
      <c r="T1183" s="3">
        <v>7</v>
      </c>
      <c r="U1183" s="3">
        <v>47</v>
      </c>
      <c r="V1183" s="3">
        <v>16</v>
      </c>
      <c r="W1183" s="3">
        <v>8</v>
      </c>
      <c r="X1183" s="3" t="s">
        <v>378</v>
      </c>
      <c r="Y1183" s="3">
        <v>1</v>
      </c>
      <c r="Z1183" s="3">
        <v>7</v>
      </c>
      <c r="AA1183" s="3">
        <v>2</v>
      </c>
      <c r="AB1183" s="3">
        <v>2</v>
      </c>
      <c r="AC1183" s="3">
        <v>20</v>
      </c>
      <c r="AD1183" s="3">
        <v>7</v>
      </c>
      <c r="AE1183" s="3">
        <v>14</v>
      </c>
      <c r="AF1183" s="3" t="s">
        <v>0</v>
      </c>
      <c r="AG1183" s="3" t="s">
        <v>49</v>
      </c>
    </row>
    <row r="1184" spans="1:33" ht="76.5" x14ac:dyDescent="0.2">
      <c r="A1184" s="5" t="str">
        <f>HYPERLINK("http://www.patentics.cn/invokexml.do?sf=ShowPatent&amp;spn=CN102308601B&amp;sv=d3a35c9d1e94ae09f617852ef42093cb","CN102308601B")</f>
        <v>CN102308601B</v>
      </c>
      <c r="B1184" s="3" t="s">
        <v>5467</v>
      </c>
      <c r="C1184" s="3" t="s">
        <v>5468</v>
      </c>
      <c r="D1184" s="3" t="s">
        <v>338</v>
      </c>
      <c r="E1184" s="3" t="s">
        <v>338</v>
      </c>
      <c r="F1184" s="3" t="s">
        <v>5469</v>
      </c>
      <c r="G1184" s="3" t="s">
        <v>3027</v>
      </c>
      <c r="H1184" s="3" t="s">
        <v>4214</v>
      </c>
      <c r="I1184" s="3" t="s">
        <v>5470</v>
      </c>
      <c r="J1184" s="3" t="s">
        <v>3914</v>
      </c>
      <c r="K1184" s="3" t="s">
        <v>82</v>
      </c>
      <c r="L1184" s="3" t="s">
        <v>3029</v>
      </c>
      <c r="M1184" s="3" t="s">
        <v>0</v>
      </c>
      <c r="N1184" s="3" t="s">
        <v>0</v>
      </c>
      <c r="O1184" s="3">
        <v>45</v>
      </c>
      <c r="P1184" s="3">
        <v>25</v>
      </c>
      <c r="Q1184" s="3" t="s">
        <v>60</v>
      </c>
      <c r="R1184" s="3" t="s">
        <v>61</v>
      </c>
      <c r="S1184" s="3">
        <v>2</v>
      </c>
      <c r="T1184" s="3">
        <v>0</v>
      </c>
      <c r="U1184" s="3">
        <v>2</v>
      </c>
      <c r="V1184" s="3">
        <v>2</v>
      </c>
      <c r="W1184" s="3">
        <v>6</v>
      </c>
      <c r="X1184" s="3" t="s">
        <v>147</v>
      </c>
      <c r="Y1184" s="3">
        <v>0</v>
      </c>
      <c r="Z1184" s="3">
        <v>6</v>
      </c>
      <c r="AA1184" s="3">
        <v>0</v>
      </c>
      <c r="AB1184" s="3">
        <v>1</v>
      </c>
      <c r="AC1184" s="3">
        <v>13</v>
      </c>
      <c r="AD1184" s="3">
        <v>8</v>
      </c>
      <c r="AE1184" s="3">
        <v>14</v>
      </c>
      <c r="AF1184" s="3" t="s">
        <v>0</v>
      </c>
      <c r="AG1184" s="3" t="s">
        <v>49</v>
      </c>
    </row>
    <row r="1185" spans="1:33" ht="25.5" x14ac:dyDescent="0.2">
      <c r="A1185" s="4" t="str">
        <f>HYPERLINK("http://www.patentics.cn/invokexml.do?sf=ShowPatent&amp;spn=CN101286915&amp;sv=5fe8a19b2c98cb4b66901d266035cf7d","CN101286915")</f>
        <v>CN101286915</v>
      </c>
      <c r="B1185" s="2" t="s">
        <v>5471</v>
      </c>
      <c r="C1185" s="2" t="s">
        <v>5472</v>
      </c>
      <c r="D1185" s="2" t="s">
        <v>38</v>
      </c>
      <c r="E1185" s="2" t="s">
        <v>38</v>
      </c>
      <c r="F1185" s="2" t="s">
        <v>5473</v>
      </c>
      <c r="G1185" s="2" t="s">
        <v>5314</v>
      </c>
      <c r="H1185" s="2" t="s">
        <v>3130</v>
      </c>
      <c r="I1185" s="2" t="s">
        <v>3130</v>
      </c>
      <c r="J1185" s="2" t="s">
        <v>562</v>
      </c>
      <c r="K1185" s="2" t="s">
        <v>58</v>
      </c>
      <c r="L1185" s="2" t="s">
        <v>289</v>
      </c>
      <c r="M1185" s="2" t="s">
        <v>58</v>
      </c>
      <c r="N1185" s="2" t="s">
        <v>1785</v>
      </c>
      <c r="O1185" s="2">
        <v>16</v>
      </c>
      <c r="P1185" s="2">
        <v>16</v>
      </c>
      <c r="Q1185" s="2" t="s">
        <v>46</v>
      </c>
      <c r="R1185" s="2" t="s">
        <v>47</v>
      </c>
      <c r="S1185" s="2">
        <v>0</v>
      </c>
      <c r="T1185" s="2">
        <v>0</v>
      </c>
      <c r="U1185" s="2">
        <v>0</v>
      </c>
      <c r="V1185" s="2">
        <v>0</v>
      </c>
      <c r="W1185" s="2">
        <v>33</v>
      </c>
      <c r="X1185" s="2" t="s">
        <v>5474</v>
      </c>
      <c r="Y1185" s="2">
        <v>12</v>
      </c>
      <c r="Z1185" s="2">
        <v>21</v>
      </c>
      <c r="AA1185" s="2">
        <v>4</v>
      </c>
      <c r="AB1185" s="2">
        <v>4</v>
      </c>
      <c r="AC1185" s="2">
        <v>6</v>
      </c>
      <c r="AD1185" s="2">
        <v>4</v>
      </c>
      <c r="AE1185" s="2" t="s">
        <v>0</v>
      </c>
      <c r="AF1185" s="2">
        <v>2</v>
      </c>
      <c r="AG1185" s="2" t="s">
        <v>49</v>
      </c>
    </row>
    <row r="1186" spans="1:33" ht="89.25" x14ac:dyDescent="0.2">
      <c r="A1186" s="5" t="str">
        <f>HYPERLINK("http://www.patentics.cn/invokexml.do?sf=ShowPatent&amp;spn=US8582480&amp;sv=0a25e17368a0c2bf617f47a431f9ff2b","US8582480")</f>
        <v>US8582480</v>
      </c>
      <c r="B1186" s="3" t="s">
        <v>5475</v>
      </c>
      <c r="C1186" s="3" t="s">
        <v>5476</v>
      </c>
      <c r="D1186" s="3" t="s">
        <v>52</v>
      </c>
      <c r="E1186" s="3" t="s">
        <v>52</v>
      </c>
      <c r="F1186" s="3" t="s">
        <v>5477</v>
      </c>
      <c r="G1186" s="3" t="s">
        <v>5320</v>
      </c>
      <c r="H1186" s="3" t="s">
        <v>5478</v>
      </c>
      <c r="I1186" s="3" t="s">
        <v>1452</v>
      </c>
      <c r="J1186" s="3" t="s">
        <v>118</v>
      </c>
      <c r="K1186" s="3" t="s">
        <v>84</v>
      </c>
      <c r="L1186" s="3" t="s">
        <v>163</v>
      </c>
      <c r="M1186" s="3" t="s">
        <v>58</v>
      </c>
      <c r="N1186" s="3" t="s">
        <v>5479</v>
      </c>
      <c r="O1186" s="3">
        <v>0</v>
      </c>
      <c r="P1186" s="3">
        <v>18</v>
      </c>
      <c r="Q1186" s="3" t="s">
        <v>60</v>
      </c>
      <c r="R1186" s="3" t="s">
        <v>61</v>
      </c>
      <c r="S1186" s="3">
        <v>16</v>
      </c>
      <c r="T1186" s="3">
        <v>3</v>
      </c>
      <c r="U1186" s="3">
        <v>13</v>
      </c>
      <c r="V1186" s="3">
        <v>9</v>
      </c>
      <c r="W1186" s="3">
        <v>13</v>
      </c>
      <c r="X1186" s="3" t="s">
        <v>147</v>
      </c>
      <c r="Y1186" s="3">
        <v>0</v>
      </c>
      <c r="Z1186" s="3">
        <v>13</v>
      </c>
      <c r="AA1186" s="3">
        <v>1</v>
      </c>
      <c r="AB1186" s="3">
        <v>2</v>
      </c>
      <c r="AC1186" s="3">
        <v>13</v>
      </c>
      <c r="AD1186" s="3">
        <v>7</v>
      </c>
      <c r="AE1186" s="3">
        <v>14</v>
      </c>
      <c r="AF1186" s="3" t="s">
        <v>0</v>
      </c>
      <c r="AG1186" s="3" t="s">
        <v>49</v>
      </c>
    </row>
    <row r="1187" spans="1:33" ht="51" x14ac:dyDescent="0.2">
      <c r="A1187" s="5" t="str">
        <f>HYPERLINK("http://www.patentics.cn/invokexml.do?sf=ShowPatent&amp;spn=CN102246547B&amp;sv=0446a4dab377391c68c381cb6a78fdd0","CN102246547B")</f>
        <v>CN102246547B</v>
      </c>
      <c r="B1187" s="3" t="s">
        <v>5480</v>
      </c>
      <c r="C1187" s="3" t="s">
        <v>5481</v>
      </c>
      <c r="D1187" s="3" t="s">
        <v>338</v>
      </c>
      <c r="E1187" s="3" t="s">
        <v>338</v>
      </c>
      <c r="F1187" s="3" t="s">
        <v>5482</v>
      </c>
      <c r="G1187" s="3" t="s">
        <v>5326</v>
      </c>
      <c r="H1187" s="3" t="s">
        <v>5478</v>
      </c>
      <c r="I1187" s="3" t="s">
        <v>3952</v>
      </c>
      <c r="J1187" s="3" t="s">
        <v>5483</v>
      </c>
      <c r="K1187" s="3" t="s">
        <v>82</v>
      </c>
      <c r="L1187" s="3" t="s">
        <v>5484</v>
      </c>
      <c r="M1187" s="3" t="s">
        <v>0</v>
      </c>
      <c r="N1187" s="3" t="s">
        <v>0</v>
      </c>
      <c r="O1187" s="3">
        <v>20</v>
      </c>
      <c r="P1187" s="3">
        <v>28</v>
      </c>
      <c r="Q1187" s="3" t="s">
        <v>60</v>
      </c>
      <c r="R1187" s="3" t="s">
        <v>61</v>
      </c>
      <c r="S1187" s="3">
        <v>3</v>
      </c>
      <c r="T1187" s="3">
        <v>0</v>
      </c>
      <c r="U1187" s="3">
        <v>3</v>
      </c>
      <c r="V1187" s="3">
        <v>2</v>
      </c>
      <c r="W1187" s="3">
        <v>12</v>
      </c>
      <c r="X1187" s="3" t="s">
        <v>147</v>
      </c>
      <c r="Y1187" s="3">
        <v>0</v>
      </c>
      <c r="Z1187" s="3">
        <v>12</v>
      </c>
      <c r="AA1187" s="3">
        <v>0</v>
      </c>
      <c r="AB1187" s="3">
        <v>1</v>
      </c>
      <c r="AC1187" s="3">
        <v>0</v>
      </c>
      <c r="AD1187" s="3">
        <v>0</v>
      </c>
      <c r="AE1187" s="3">
        <v>14</v>
      </c>
      <c r="AF1187" s="3" t="s">
        <v>0</v>
      </c>
      <c r="AG1187" s="3" t="s">
        <v>49</v>
      </c>
    </row>
    <row r="1188" spans="1:33" ht="25.5" x14ac:dyDescent="0.2">
      <c r="A1188" s="4" t="str">
        <f>HYPERLINK("http://www.patentics.cn/invokexml.do?sf=ShowPatent&amp;spn=CN101287294&amp;sv=9c8af993a9d90a8d92d621d31161fc84","CN101287294")</f>
        <v>CN101287294</v>
      </c>
      <c r="B1188" s="2" t="s">
        <v>5485</v>
      </c>
      <c r="C1188" s="2" t="s">
        <v>5486</v>
      </c>
      <c r="D1188" s="2" t="s">
        <v>38</v>
      </c>
      <c r="E1188" s="2" t="s">
        <v>38</v>
      </c>
      <c r="F1188" s="2" t="s">
        <v>5487</v>
      </c>
      <c r="G1188" s="2" t="s">
        <v>5459</v>
      </c>
      <c r="H1188" s="2" t="s">
        <v>3130</v>
      </c>
      <c r="I1188" s="2" t="s">
        <v>3130</v>
      </c>
      <c r="J1188" s="2" t="s">
        <v>562</v>
      </c>
      <c r="K1188" s="2" t="s">
        <v>43</v>
      </c>
      <c r="L1188" s="2" t="s">
        <v>2591</v>
      </c>
      <c r="M1188" s="2" t="s">
        <v>58</v>
      </c>
      <c r="N1188" s="2" t="s">
        <v>1785</v>
      </c>
      <c r="O1188" s="2">
        <v>13</v>
      </c>
      <c r="P1188" s="2">
        <v>16</v>
      </c>
      <c r="Q1188" s="2" t="s">
        <v>46</v>
      </c>
      <c r="R1188" s="2" t="s">
        <v>47</v>
      </c>
      <c r="S1188" s="2">
        <v>0</v>
      </c>
      <c r="T1188" s="2">
        <v>0</v>
      </c>
      <c r="U1188" s="2">
        <v>0</v>
      </c>
      <c r="V1188" s="2">
        <v>0</v>
      </c>
      <c r="W1188" s="2">
        <v>63</v>
      </c>
      <c r="X1188" s="2" t="s">
        <v>5488</v>
      </c>
      <c r="Y1188" s="2">
        <v>20</v>
      </c>
      <c r="Z1188" s="2">
        <v>43</v>
      </c>
      <c r="AA1188" s="2">
        <v>14</v>
      </c>
      <c r="AB1188" s="2">
        <v>4</v>
      </c>
      <c r="AC1188" s="2">
        <v>1</v>
      </c>
      <c r="AD1188" s="2">
        <v>1</v>
      </c>
      <c r="AE1188" s="2" t="s">
        <v>0</v>
      </c>
      <c r="AF1188" s="2">
        <v>2</v>
      </c>
      <c r="AG1188" s="2" t="s">
        <v>49</v>
      </c>
    </row>
    <row r="1189" spans="1:33" ht="38.25" x14ac:dyDescent="0.2">
      <c r="A1189" s="5" t="str">
        <f>HYPERLINK("http://www.patentics.cn/invokexml.do?sf=ShowPatent&amp;spn=US8599701&amp;sv=42df2b972d5d95fc9fb5a4e48f826f56","US8599701")</f>
        <v>US8599701</v>
      </c>
      <c r="B1189" s="3" t="s">
        <v>5489</v>
      </c>
      <c r="C1189" s="3" t="s">
        <v>5490</v>
      </c>
      <c r="D1189" s="3" t="s">
        <v>52</v>
      </c>
      <c r="E1189" s="3" t="s">
        <v>52</v>
      </c>
      <c r="F1189" s="3" t="s">
        <v>5491</v>
      </c>
      <c r="G1189" s="3" t="s">
        <v>5492</v>
      </c>
      <c r="H1189" s="3" t="s">
        <v>5135</v>
      </c>
      <c r="I1189" s="3" t="s">
        <v>2934</v>
      </c>
      <c r="J1189" s="3" t="s">
        <v>134</v>
      </c>
      <c r="K1189" s="3" t="s">
        <v>1020</v>
      </c>
      <c r="L1189" s="3" t="s">
        <v>1021</v>
      </c>
      <c r="M1189" s="3" t="s">
        <v>82</v>
      </c>
      <c r="N1189" s="3" t="s">
        <v>5493</v>
      </c>
      <c r="O1189" s="3">
        <v>0</v>
      </c>
      <c r="P1189" s="3">
        <v>12</v>
      </c>
      <c r="Q1189" s="3" t="s">
        <v>60</v>
      </c>
      <c r="R1189" s="3" t="s">
        <v>61</v>
      </c>
      <c r="S1189" s="3">
        <v>18</v>
      </c>
      <c r="T1189" s="3">
        <v>2</v>
      </c>
      <c r="U1189" s="3">
        <v>16</v>
      </c>
      <c r="V1189" s="3">
        <v>12</v>
      </c>
      <c r="W1189" s="3">
        <v>31</v>
      </c>
      <c r="X1189" s="3" t="s">
        <v>147</v>
      </c>
      <c r="Y1189" s="3">
        <v>0</v>
      </c>
      <c r="Z1189" s="3">
        <v>31</v>
      </c>
      <c r="AA1189" s="3">
        <v>0</v>
      </c>
      <c r="AB1189" s="3">
        <v>1</v>
      </c>
      <c r="AC1189" s="3">
        <v>9</v>
      </c>
      <c r="AD1189" s="3">
        <v>7</v>
      </c>
      <c r="AE1189" s="3">
        <v>14</v>
      </c>
      <c r="AF1189" s="3" t="s">
        <v>0</v>
      </c>
      <c r="AG1189" s="3" t="s">
        <v>49</v>
      </c>
    </row>
    <row r="1190" spans="1:33" ht="76.5" x14ac:dyDescent="0.2">
      <c r="A1190" s="5" t="str">
        <f>HYPERLINK("http://www.patentics.cn/invokexml.do?sf=ShowPatent&amp;spn=US8731551&amp;sv=4e270e5593d6a50fe0385a2b9a854120","US8731551")</f>
        <v>US8731551</v>
      </c>
      <c r="B1190" s="3" t="s">
        <v>5462</v>
      </c>
      <c r="C1190" s="3" t="s">
        <v>5463</v>
      </c>
      <c r="D1190" s="3" t="s">
        <v>52</v>
      </c>
      <c r="E1190" s="3" t="s">
        <v>52</v>
      </c>
      <c r="F1190" s="3" t="s">
        <v>5464</v>
      </c>
      <c r="G1190" s="3" t="s">
        <v>3015</v>
      </c>
      <c r="H1190" s="3" t="s">
        <v>5465</v>
      </c>
      <c r="I1190" s="3" t="s">
        <v>3728</v>
      </c>
      <c r="J1190" s="3" t="s">
        <v>4687</v>
      </c>
      <c r="K1190" s="3" t="s">
        <v>82</v>
      </c>
      <c r="L1190" s="3" t="s">
        <v>83</v>
      </c>
      <c r="M1190" s="3" t="s">
        <v>58</v>
      </c>
      <c r="N1190" s="3" t="s">
        <v>5466</v>
      </c>
      <c r="O1190" s="3">
        <v>0</v>
      </c>
      <c r="P1190" s="3">
        <v>14</v>
      </c>
      <c r="Q1190" s="3" t="s">
        <v>60</v>
      </c>
      <c r="R1190" s="3" t="s">
        <v>61</v>
      </c>
      <c r="S1190" s="3">
        <v>54</v>
      </c>
      <c r="T1190" s="3">
        <v>7</v>
      </c>
      <c r="U1190" s="3">
        <v>47</v>
      </c>
      <c r="V1190" s="3">
        <v>16</v>
      </c>
      <c r="W1190" s="3">
        <v>8</v>
      </c>
      <c r="X1190" s="3" t="s">
        <v>378</v>
      </c>
      <c r="Y1190" s="3">
        <v>1</v>
      </c>
      <c r="Z1190" s="3">
        <v>7</v>
      </c>
      <c r="AA1190" s="3">
        <v>2</v>
      </c>
      <c r="AB1190" s="3">
        <v>2</v>
      </c>
      <c r="AC1190" s="3">
        <v>20</v>
      </c>
      <c r="AD1190" s="3">
        <v>7</v>
      </c>
      <c r="AE1190" s="3">
        <v>14</v>
      </c>
      <c r="AF1190" s="3" t="s">
        <v>0</v>
      </c>
      <c r="AG1190" s="3" t="s">
        <v>49</v>
      </c>
    </row>
    <row r="1191" spans="1:33" ht="25.5" x14ac:dyDescent="0.2">
      <c r="A1191" s="4" t="str">
        <f>HYPERLINK("http://www.patentics.cn/invokexml.do?sf=ShowPatent&amp;spn=CN101282170&amp;sv=eb1406eb2ddd0509990a1adcca4f4ddf","CN101282170")</f>
        <v>CN101282170</v>
      </c>
      <c r="B1191" s="2" t="s">
        <v>5494</v>
      </c>
      <c r="C1191" s="2" t="s">
        <v>5495</v>
      </c>
      <c r="D1191" s="2" t="s">
        <v>38</v>
      </c>
      <c r="E1191" s="2" t="s">
        <v>38</v>
      </c>
      <c r="F1191" s="2" t="s">
        <v>5496</v>
      </c>
      <c r="G1191" s="2" t="s">
        <v>5497</v>
      </c>
      <c r="H1191" s="2" t="s">
        <v>5498</v>
      </c>
      <c r="I1191" s="2" t="s">
        <v>5498</v>
      </c>
      <c r="J1191" s="2" t="s">
        <v>3453</v>
      </c>
      <c r="K1191" s="2" t="s">
        <v>84</v>
      </c>
      <c r="L1191" s="2" t="s">
        <v>1922</v>
      </c>
      <c r="M1191" s="2" t="s">
        <v>43</v>
      </c>
      <c r="N1191" s="2" t="s">
        <v>45</v>
      </c>
      <c r="O1191" s="2">
        <v>7</v>
      </c>
      <c r="P1191" s="2">
        <v>30</v>
      </c>
      <c r="Q1191" s="2" t="s">
        <v>46</v>
      </c>
      <c r="R1191" s="2" t="s">
        <v>47</v>
      </c>
      <c r="S1191" s="2">
        <v>0</v>
      </c>
      <c r="T1191" s="2">
        <v>0</v>
      </c>
      <c r="U1191" s="2">
        <v>0</v>
      </c>
      <c r="V1191" s="2">
        <v>0</v>
      </c>
      <c r="W1191" s="2">
        <v>11</v>
      </c>
      <c r="X1191" s="2" t="s">
        <v>2888</v>
      </c>
      <c r="Y1191" s="2">
        <v>1</v>
      </c>
      <c r="Z1191" s="2">
        <v>10</v>
      </c>
      <c r="AA1191" s="2">
        <v>4</v>
      </c>
      <c r="AB1191" s="2">
        <v>3</v>
      </c>
      <c r="AC1191" s="2">
        <v>1</v>
      </c>
      <c r="AD1191" s="2">
        <v>1</v>
      </c>
      <c r="AE1191" s="2" t="s">
        <v>0</v>
      </c>
      <c r="AF1191" s="2">
        <v>2</v>
      </c>
      <c r="AG1191" s="2" t="s">
        <v>755</v>
      </c>
    </row>
    <row r="1192" spans="1:33" ht="114.75" x14ac:dyDescent="0.2">
      <c r="A1192" s="5" t="str">
        <f>HYPERLINK("http://www.patentics.cn/invokexml.do?sf=ShowPatent&amp;spn=US8855062&amp;sv=072fc9b280e4c417f82b72cb32855e72","US8855062")</f>
        <v>US8855062</v>
      </c>
      <c r="B1192" s="3" t="s">
        <v>5499</v>
      </c>
      <c r="C1192" s="3" t="s">
        <v>5500</v>
      </c>
      <c r="D1192" s="3" t="s">
        <v>52</v>
      </c>
      <c r="E1192" s="3" t="s">
        <v>52</v>
      </c>
      <c r="F1192" s="3" t="s">
        <v>5501</v>
      </c>
      <c r="G1192" s="3" t="s">
        <v>181</v>
      </c>
      <c r="H1192" s="3" t="s">
        <v>1229</v>
      </c>
      <c r="I1192" s="3" t="s">
        <v>1280</v>
      </c>
      <c r="J1192" s="3" t="s">
        <v>485</v>
      </c>
      <c r="K1192" s="3" t="s">
        <v>82</v>
      </c>
      <c r="L1192" s="3" t="s">
        <v>83</v>
      </c>
      <c r="M1192" s="3" t="s">
        <v>82</v>
      </c>
      <c r="N1192" s="3" t="s">
        <v>5502</v>
      </c>
      <c r="O1192" s="3">
        <v>0</v>
      </c>
      <c r="P1192" s="3">
        <v>13</v>
      </c>
      <c r="Q1192" s="3" t="s">
        <v>60</v>
      </c>
      <c r="R1192" s="3" t="s">
        <v>61</v>
      </c>
      <c r="S1192" s="3">
        <v>40</v>
      </c>
      <c r="T1192" s="3">
        <v>4</v>
      </c>
      <c r="U1192" s="3">
        <v>36</v>
      </c>
      <c r="V1192" s="3">
        <v>17</v>
      </c>
      <c r="W1192" s="3">
        <v>9</v>
      </c>
      <c r="X1192" s="3" t="s">
        <v>378</v>
      </c>
      <c r="Y1192" s="3">
        <v>0</v>
      </c>
      <c r="Z1192" s="3">
        <v>9</v>
      </c>
      <c r="AA1192" s="3">
        <v>1</v>
      </c>
      <c r="AB1192" s="3">
        <v>2</v>
      </c>
      <c r="AC1192" s="3">
        <v>19</v>
      </c>
      <c r="AD1192" s="3">
        <v>13</v>
      </c>
      <c r="AE1192" s="3">
        <v>14</v>
      </c>
      <c r="AF1192" s="3" t="s">
        <v>0</v>
      </c>
      <c r="AG1192" s="3" t="s">
        <v>49</v>
      </c>
    </row>
    <row r="1193" spans="1:33" ht="51" x14ac:dyDescent="0.2">
      <c r="A1193" s="5" t="str">
        <f>HYPERLINK("http://www.patentics.cn/invokexml.do?sf=ShowPatent&amp;spn=CN102449942B&amp;sv=ebcb738c449a053dfeb5ba13c773f93d","CN102449942B")</f>
        <v>CN102449942B</v>
      </c>
      <c r="B1193" s="3" t="s">
        <v>5503</v>
      </c>
      <c r="C1193" s="3" t="s">
        <v>5504</v>
      </c>
      <c r="D1193" s="3" t="s">
        <v>338</v>
      </c>
      <c r="E1193" s="3" t="s">
        <v>338</v>
      </c>
      <c r="F1193" s="3" t="s">
        <v>5505</v>
      </c>
      <c r="G1193" s="3" t="s">
        <v>5506</v>
      </c>
      <c r="H1193" s="3" t="s">
        <v>1229</v>
      </c>
      <c r="I1193" s="3" t="s">
        <v>5507</v>
      </c>
      <c r="J1193" s="3" t="s">
        <v>5508</v>
      </c>
      <c r="K1193" s="3" t="s">
        <v>58</v>
      </c>
      <c r="L1193" s="3" t="s">
        <v>613</v>
      </c>
      <c r="M1193" s="3" t="s">
        <v>0</v>
      </c>
      <c r="N1193" s="3" t="s">
        <v>0</v>
      </c>
      <c r="O1193" s="3">
        <v>26</v>
      </c>
      <c r="P1193" s="3">
        <v>15</v>
      </c>
      <c r="Q1193" s="3" t="s">
        <v>60</v>
      </c>
      <c r="R1193" s="3" t="s">
        <v>61</v>
      </c>
      <c r="S1193" s="3">
        <v>3</v>
      </c>
      <c r="T1193" s="3">
        <v>0</v>
      </c>
      <c r="U1193" s="3">
        <v>3</v>
      </c>
      <c r="V1193" s="3">
        <v>3</v>
      </c>
      <c r="W1193" s="3">
        <v>8</v>
      </c>
      <c r="X1193" s="3" t="s">
        <v>147</v>
      </c>
      <c r="Y1193" s="3">
        <v>0</v>
      </c>
      <c r="Z1193" s="3">
        <v>8</v>
      </c>
      <c r="AA1193" s="3">
        <v>0</v>
      </c>
      <c r="AB1193" s="3">
        <v>1</v>
      </c>
      <c r="AC1193" s="3">
        <v>19</v>
      </c>
      <c r="AD1193" s="3">
        <v>13</v>
      </c>
      <c r="AE1193" s="3">
        <v>14</v>
      </c>
      <c r="AF1193" s="3" t="s">
        <v>0</v>
      </c>
      <c r="AG1193" s="3" t="s">
        <v>49</v>
      </c>
    </row>
    <row r="1194" spans="1:33" x14ac:dyDescent="0.2">
      <c r="A1194" s="4" t="str">
        <f>HYPERLINK("http://www.patentics.cn/invokexml.do?sf=ShowPatent&amp;spn=CN101277160&amp;sv=0c033e6fc83f9fd306bd23358794c981","CN101277160")</f>
        <v>CN101277160</v>
      </c>
      <c r="B1194" s="2" t="s">
        <v>5509</v>
      </c>
      <c r="C1194" s="2" t="s">
        <v>5510</v>
      </c>
      <c r="D1194" s="2" t="s">
        <v>38</v>
      </c>
      <c r="E1194" s="2" t="s">
        <v>38</v>
      </c>
      <c r="F1194" s="2" t="s">
        <v>5511</v>
      </c>
      <c r="G1194" s="2" t="s">
        <v>5511</v>
      </c>
      <c r="H1194" s="2" t="s">
        <v>5210</v>
      </c>
      <c r="I1194" s="2" t="s">
        <v>5210</v>
      </c>
      <c r="J1194" s="2" t="s">
        <v>2609</v>
      </c>
      <c r="K1194" s="2" t="s">
        <v>1246</v>
      </c>
      <c r="L1194" s="2" t="s">
        <v>5512</v>
      </c>
      <c r="M1194" s="2" t="s">
        <v>544</v>
      </c>
      <c r="N1194" s="2" t="s">
        <v>5513</v>
      </c>
      <c r="O1194" s="2">
        <v>9</v>
      </c>
      <c r="P1194" s="2">
        <v>10</v>
      </c>
      <c r="Q1194" s="2" t="s">
        <v>46</v>
      </c>
      <c r="R1194" s="2" t="s">
        <v>47</v>
      </c>
      <c r="S1194" s="2">
        <v>0</v>
      </c>
      <c r="T1194" s="2">
        <v>0</v>
      </c>
      <c r="U1194" s="2">
        <v>0</v>
      </c>
      <c r="V1194" s="2">
        <v>0</v>
      </c>
      <c r="W1194" s="2">
        <v>3</v>
      </c>
      <c r="X1194" s="2" t="s">
        <v>4764</v>
      </c>
      <c r="Y1194" s="2">
        <v>0</v>
      </c>
      <c r="Z1194" s="2">
        <v>3</v>
      </c>
      <c r="AA1194" s="2">
        <v>2</v>
      </c>
      <c r="AB1194" s="2">
        <v>2</v>
      </c>
      <c r="AC1194" s="2">
        <v>1</v>
      </c>
      <c r="AD1194" s="2">
        <v>1</v>
      </c>
      <c r="AE1194" s="2" t="s">
        <v>0</v>
      </c>
      <c r="AF1194" s="2">
        <v>2</v>
      </c>
      <c r="AG1194" s="2" t="s">
        <v>49</v>
      </c>
    </row>
    <row r="1195" spans="1:33" ht="38.25" x14ac:dyDescent="0.2">
      <c r="A1195" s="5" t="str">
        <f>HYPERLINK("http://www.patentics.cn/invokexml.do?sf=ShowPatent&amp;spn=US9386054&amp;sv=d992564b2783c53c8aa0e5134b2f1e7b","US9386054")</f>
        <v>US9386054</v>
      </c>
      <c r="B1195" s="3" t="s">
        <v>5514</v>
      </c>
      <c r="C1195" s="3" t="s">
        <v>5515</v>
      </c>
      <c r="D1195" s="3" t="s">
        <v>52</v>
      </c>
      <c r="E1195" s="3" t="s">
        <v>52</v>
      </c>
      <c r="F1195" s="3" t="s">
        <v>5516</v>
      </c>
      <c r="G1195" s="3" t="s">
        <v>5516</v>
      </c>
      <c r="H1195" s="3" t="s">
        <v>5517</v>
      </c>
      <c r="I1195" s="3" t="s">
        <v>4116</v>
      </c>
      <c r="J1195" s="3" t="s">
        <v>708</v>
      </c>
      <c r="K1195" s="3" t="s">
        <v>84</v>
      </c>
      <c r="L1195" s="3" t="s">
        <v>163</v>
      </c>
      <c r="M1195" s="3" t="s">
        <v>58</v>
      </c>
      <c r="N1195" s="3" t="s">
        <v>5518</v>
      </c>
      <c r="O1195" s="3">
        <v>0</v>
      </c>
      <c r="P1195" s="3">
        <v>12</v>
      </c>
      <c r="Q1195" s="3" t="s">
        <v>60</v>
      </c>
      <c r="R1195" s="3" t="s">
        <v>61</v>
      </c>
      <c r="S1195" s="3">
        <v>51</v>
      </c>
      <c r="T1195" s="3">
        <v>2</v>
      </c>
      <c r="U1195" s="3">
        <v>49</v>
      </c>
      <c r="V1195" s="3">
        <v>30</v>
      </c>
      <c r="W1195" s="3">
        <v>0</v>
      </c>
      <c r="X1195" s="3" t="s">
        <v>147</v>
      </c>
      <c r="Y1195" s="3">
        <v>0</v>
      </c>
      <c r="Z1195" s="3">
        <v>0</v>
      </c>
      <c r="AA1195" s="3">
        <v>0</v>
      </c>
      <c r="AB1195" s="3">
        <v>0</v>
      </c>
      <c r="AC1195" s="3">
        <v>12</v>
      </c>
      <c r="AD1195" s="3">
        <v>6</v>
      </c>
      <c r="AE1195" s="3">
        <v>14</v>
      </c>
      <c r="AF1195" s="3" t="s">
        <v>0</v>
      </c>
      <c r="AG1195" s="3" t="s">
        <v>49</v>
      </c>
    </row>
    <row r="1196" spans="1:33" ht="25.5" x14ac:dyDescent="0.2">
      <c r="A1196" s="5" t="str">
        <f>HYPERLINK("http://www.patentics.cn/invokexml.do?sf=ShowPatent&amp;spn=CN102379111B&amp;sv=f896d4e82819d3343127c49dbb222536","CN102379111B")</f>
        <v>CN102379111B</v>
      </c>
      <c r="B1196" s="3" t="s">
        <v>5519</v>
      </c>
      <c r="C1196" s="3" t="s">
        <v>5520</v>
      </c>
      <c r="D1196" s="3" t="s">
        <v>338</v>
      </c>
      <c r="E1196" s="3" t="s">
        <v>338</v>
      </c>
      <c r="F1196" s="3" t="s">
        <v>5521</v>
      </c>
      <c r="G1196" s="3" t="s">
        <v>5521</v>
      </c>
      <c r="H1196" s="3" t="s">
        <v>5517</v>
      </c>
      <c r="I1196" s="3" t="s">
        <v>4507</v>
      </c>
      <c r="J1196" s="3" t="s">
        <v>5522</v>
      </c>
      <c r="K1196" s="3" t="s">
        <v>58</v>
      </c>
      <c r="L1196" s="3" t="s">
        <v>722</v>
      </c>
      <c r="M1196" s="3" t="s">
        <v>0</v>
      </c>
      <c r="N1196" s="3" t="s">
        <v>0</v>
      </c>
      <c r="O1196" s="3">
        <v>54</v>
      </c>
      <c r="P1196" s="3">
        <v>17</v>
      </c>
      <c r="Q1196" s="3" t="s">
        <v>60</v>
      </c>
      <c r="R1196" s="3" t="s">
        <v>61</v>
      </c>
      <c r="S1196" s="3">
        <v>6</v>
      </c>
      <c r="T1196" s="3">
        <v>0</v>
      </c>
      <c r="U1196" s="3">
        <v>6</v>
      </c>
      <c r="V1196" s="3">
        <v>5</v>
      </c>
      <c r="W1196" s="3">
        <v>0</v>
      </c>
      <c r="X1196" s="3" t="s">
        <v>147</v>
      </c>
      <c r="Y1196" s="3">
        <v>0</v>
      </c>
      <c r="Z1196" s="3">
        <v>0</v>
      </c>
      <c r="AA1196" s="3">
        <v>0</v>
      </c>
      <c r="AB1196" s="3">
        <v>0</v>
      </c>
      <c r="AC1196" s="3">
        <v>12</v>
      </c>
      <c r="AD1196" s="3">
        <v>6</v>
      </c>
      <c r="AE1196" s="3">
        <v>14</v>
      </c>
      <c r="AF1196" s="3" t="s">
        <v>0</v>
      </c>
      <c r="AG1196" s="3" t="s">
        <v>49</v>
      </c>
    </row>
    <row r="1197" spans="1:33" ht="25.5" x14ac:dyDescent="0.2">
      <c r="A1197" s="4" t="str">
        <f>HYPERLINK("http://www.patentics.cn/invokexml.do?sf=ShowPatent&amp;spn=CN101272534&amp;sv=1bf8ee765bd81eef3244fea3c69040c4","CN101272534")</f>
        <v>CN101272534</v>
      </c>
      <c r="B1197" s="2" t="s">
        <v>5523</v>
      </c>
      <c r="C1197" s="2" t="s">
        <v>5524</v>
      </c>
      <c r="D1197" s="2" t="s">
        <v>38</v>
      </c>
      <c r="E1197" s="2" t="s">
        <v>38</v>
      </c>
      <c r="F1197" s="2" t="s">
        <v>5473</v>
      </c>
      <c r="G1197" s="2" t="s">
        <v>5314</v>
      </c>
      <c r="H1197" s="2" t="s">
        <v>5525</v>
      </c>
      <c r="I1197" s="2" t="s">
        <v>5525</v>
      </c>
      <c r="J1197" s="2" t="s">
        <v>3816</v>
      </c>
      <c r="K1197" s="2" t="s">
        <v>43</v>
      </c>
      <c r="L1197" s="2" t="s">
        <v>1588</v>
      </c>
      <c r="M1197" s="2" t="s">
        <v>58</v>
      </c>
      <c r="N1197" s="2" t="s">
        <v>3921</v>
      </c>
      <c r="O1197" s="2">
        <v>16</v>
      </c>
      <c r="P1197" s="2">
        <v>23</v>
      </c>
      <c r="Q1197" s="2" t="s">
        <v>46</v>
      </c>
      <c r="R1197" s="2" t="s">
        <v>47</v>
      </c>
      <c r="S1197" s="2">
        <v>0</v>
      </c>
      <c r="T1197" s="2">
        <v>0</v>
      </c>
      <c r="U1197" s="2">
        <v>0</v>
      </c>
      <c r="V1197" s="2">
        <v>0</v>
      </c>
      <c r="W1197" s="2">
        <v>21</v>
      </c>
      <c r="X1197" s="2" t="s">
        <v>5526</v>
      </c>
      <c r="Y1197" s="2">
        <v>7</v>
      </c>
      <c r="Z1197" s="2">
        <v>14</v>
      </c>
      <c r="AA1197" s="2">
        <v>4</v>
      </c>
      <c r="AB1197" s="2">
        <v>4</v>
      </c>
      <c r="AC1197" s="2">
        <v>2</v>
      </c>
      <c r="AD1197" s="2">
        <v>2</v>
      </c>
      <c r="AE1197" s="2" t="s">
        <v>0</v>
      </c>
      <c r="AF1197" s="2">
        <v>2</v>
      </c>
      <c r="AG1197" s="2" t="s">
        <v>49</v>
      </c>
    </row>
    <row r="1198" spans="1:33" ht="89.25" x14ac:dyDescent="0.2">
      <c r="A1198" s="5" t="str">
        <f>HYPERLINK("http://www.patentics.cn/invokexml.do?sf=ShowPatent&amp;spn=US8582480&amp;sv=0a25e17368a0c2bf617f47a431f9ff2b","US8582480")</f>
        <v>US8582480</v>
      </c>
      <c r="B1198" s="3" t="s">
        <v>5475</v>
      </c>
      <c r="C1198" s="3" t="s">
        <v>5476</v>
      </c>
      <c r="D1198" s="3" t="s">
        <v>52</v>
      </c>
      <c r="E1198" s="3" t="s">
        <v>52</v>
      </c>
      <c r="F1198" s="3" t="s">
        <v>5477</v>
      </c>
      <c r="G1198" s="3" t="s">
        <v>5320</v>
      </c>
      <c r="H1198" s="3" t="s">
        <v>5478</v>
      </c>
      <c r="I1198" s="3" t="s">
        <v>1452</v>
      </c>
      <c r="J1198" s="3" t="s">
        <v>118</v>
      </c>
      <c r="K1198" s="3" t="s">
        <v>84</v>
      </c>
      <c r="L1198" s="3" t="s">
        <v>163</v>
      </c>
      <c r="M1198" s="3" t="s">
        <v>58</v>
      </c>
      <c r="N1198" s="3" t="s">
        <v>5479</v>
      </c>
      <c r="O1198" s="3">
        <v>0</v>
      </c>
      <c r="P1198" s="3">
        <v>18</v>
      </c>
      <c r="Q1198" s="3" t="s">
        <v>60</v>
      </c>
      <c r="R1198" s="3" t="s">
        <v>61</v>
      </c>
      <c r="S1198" s="3">
        <v>16</v>
      </c>
      <c r="T1198" s="3">
        <v>3</v>
      </c>
      <c r="U1198" s="3">
        <v>13</v>
      </c>
      <c r="V1198" s="3">
        <v>9</v>
      </c>
      <c r="W1198" s="3">
        <v>13</v>
      </c>
      <c r="X1198" s="3" t="s">
        <v>147</v>
      </c>
      <c r="Y1198" s="3">
        <v>0</v>
      </c>
      <c r="Z1198" s="3">
        <v>13</v>
      </c>
      <c r="AA1198" s="3">
        <v>1</v>
      </c>
      <c r="AB1198" s="3">
        <v>2</v>
      </c>
      <c r="AC1198" s="3">
        <v>13</v>
      </c>
      <c r="AD1198" s="3">
        <v>7</v>
      </c>
      <c r="AE1198" s="3">
        <v>14</v>
      </c>
      <c r="AF1198" s="3" t="s">
        <v>0</v>
      </c>
      <c r="AG1198" s="3" t="s">
        <v>49</v>
      </c>
    </row>
    <row r="1199" spans="1:33" ht="51" x14ac:dyDescent="0.2">
      <c r="A1199" s="5" t="str">
        <f>HYPERLINK("http://www.patentics.cn/invokexml.do?sf=ShowPatent&amp;spn=CN102246547B&amp;sv=0446a4dab377391c68c381cb6a78fdd0","CN102246547B")</f>
        <v>CN102246547B</v>
      </c>
      <c r="B1199" s="3" t="s">
        <v>5480</v>
      </c>
      <c r="C1199" s="3" t="s">
        <v>5481</v>
      </c>
      <c r="D1199" s="3" t="s">
        <v>338</v>
      </c>
      <c r="E1199" s="3" t="s">
        <v>338</v>
      </c>
      <c r="F1199" s="3" t="s">
        <v>5482</v>
      </c>
      <c r="G1199" s="3" t="s">
        <v>5326</v>
      </c>
      <c r="H1199" s="3" t="s">
        <v>5478</v>
      </c>
      <c r="I1199" s="3" t="s">
        <v>3952</v>
      </c>
      <c r="J1199" s="3" t="s">
        <v>5483</v>
      </c>
      <c r="K1199" s="3" t="s">
        <v>82</v>
      </c>
      <c r="L1199" s="3" t="s">
        <v>5484</v>
      </c>
      <c r="M1199" s="3" t="s">
        <v>0</v>
      </c>
      <c r="N1199" s="3" t="s">
        <v>0</v>
      </c>
      <c r="O1199" s="3">
        <v>20</v>
      </c>
      <c r="P1199" s="3">
        <v>28</v>
      </c>
      <c r="Q1199" s="3" t="s">
        <v>60</v>
      </c>
      <c r="R1199" s="3" t="s">
        <v>61</v>
      </c>
      <c r="S1199" s="3">
        <v>3</v>
      </c>
      <c r="T1199" s="3">
        <v>0</v>
      </c>
      <c r="U1199" s="3">
        <v>3</v>
      </c>
      <c r="V1199" s="3">
        <v>2</v>
      </c>
      <c r="W1199" s="3">
        <v>12</v>
      </c>
      <c r="X1199" s="3" t="s">
        <v>147</v>
      </c>
      <c r="Y1199" s="3">
        <v>0</v>
      </c>
      <c r="Z1199" s="3">
        <v>12</v>
      </c>
      <c r="AA1199" s="3">
        <v>0</v>
      </c>
      <c r="AB1199" s="3">
        <v>1</v>
      </c>
      <c r="AC1199" s="3">
        <v>0</v>
      </c>
      <c r="AD1199" s="3">
        <v>0</v>
      </c>
      <c r="AE1199" s="3">
        <v>14</v>
      </c>
      <c r="AF1199" s="3" t="s">
        <v>0</v>
      </c>
      <c r="AG1199" s="3" t="s">
        <v>49</v>
      </c>
    </row>
    <row r="1200" spans="1:33" ht="25.5" x14ac:dyDescent="0.2">
      <c r="A1200" s="4" t="str">
        <f>HYPERLINK("http://www.patentics.cn/invokexml.do?sf=ShowPatent&amp;spn=CN101228744&amp;sv=1b078c1dae7dde1e3e52476242b7969f","CN101228744")</f>
        <v>CN101228744</v>
      </c>
      <c r="B1200" s="2" t="s">
        <v>5527</v>
      </c>
      <c r="C1200" s="2" t="s">
        <v>5528</v>
      </c>
      <c r="D1200" s="2" t="s">
        <v>38</v>
      </c>
      <c r="E1200" s="2" t="s">
        <v>38</v>
      </c>
      <c r="F1200" s="2" t="s">
        <v>5529</v>
      </c>
      <c r="G1200" s="2" t="s">
        <v>5530</v>
      </c>
      <c r="H1200" s="2" t="s">
        <v>5531</v>
      </c>
      <c r="I1200" s="2" t="s">
        <v>5531</v>
      </c>
      <c r="J1200" s="2" t="s">
        <v>5532</v>
      </c>
      <c r="K1200" s="2" t="s">
        <v>58</v>
      </c>
      <c r="L1200" s="2" t="s">
        <v>1236</v>
      </c>
      <c r="M1200" s="2" t="s">
        <v>43</v>
      </c>
      <c r="N1200" s="2" t="s">
        <v>1824</v>
      </c>
      <c r="O1200" s="2">
        <v>0</v>
      </c>
      <c r="P1200" s="2">
        <v>0</v>
      </c>
      <c r="Q1200" s="2" t="s">
        <v>46</v>
      </c>
      <c r="R1200" s="2" t="s">
        <v>47</v>
      </c>
      <c r="S1200" s="2">
        <v>0</v>
      </c>
      <c r="T1200" s="2">
        <v>0</v>
      </c>
      <c r="U1200" s="2">
        <v>0</v>
      </c>
      <c r="V1200" s="2">
        <v>0</v>
      </c>
      <c r="W1200" s="2">
        <v>5</v>
      </c>
      <c r="X1200" s="2" t="s">
        <v>5533</v>
      </c>
      <c r="Y1200" s="2">
        <v>0</v>
      </c>
      <c r="Z1200" s="2">
        <v>5</v>
      </c>
      <c r="AA1200" s="2">
        <v>3</v>
      </c>
      <c r="AB1200" s="2">
        <v>2</v>
      </c>
      <c r="AC1200" s="2">
        <v>2</v>
      </c>
      <c r="AD1200" s="2">
        <v>2</v>
      </c>
      <c r="AE1200" s="2" t="s">
        <v>0</v>
      </c>
      <c r="AF1200" s="2">
        <v>2</v>
      </c>
      <c r="AG1200" s="2" t="s">
        <v>49</v>
      </c>
    </row>
    <row r="1201" spans="1:33" ht="165.75" x14ac:dyDescent="0.2">
      <c r="A1201" s="5" t="str">
        <f>HYPERLINK("http://www.patentics.cn/invokexml.do?sf=ShowPatent&amp;spn=US9407507&amp;sv=e9393d6be0541a6a1f4106baa506db7e","US9407507")</f>
        <v>US9407507</v>
      </c>
      <c r="B1201" s="3" t="s">
        <v>5534</v>
      </c>
      <c r="C1201" s="3" t="s">
        <v>5535</v>
      </c>
      <c r="D1201" s="3" t="s">
        <v>52</v>
      </c>
      <c r="E1201" s="3" t="s">
        <v>52</v>
      </c>
      <c r="F1201" s="3" t="s">
        <v>5536</v>
      </c>
      <c r="G1201" s="3" t="s">
        <v>5537</v>
      </c>
      <c r="H1201" s="3" t="s">
        <v>2847</v>
      </c>
      <c r="I1201" s="3" t="s">
        <v>2762</v>
      </c>
      <c r="J1201" s="3" t="s">
        <v>322</v>
      </c>
      <c r="K1201" s="3" t="s">
        <v>58</v>
      </c>
      <c r="L1201" s="3" t="s">
        <v>752</v>
      </c>
      <c r="M1201" s="3" t="s">
        <v>58</v>
      </c>
      <c r="N1201" s="3" t="s">
        <v>5538</v>
      </c>
      <c r="O1201" s="3">
        <v>0</v>
      </c>
      <c r="P1201" s="3">
        <v>6</v>
      </c>
      <c r="Q1201" s="3" t="s">
        <v>60</v>
      </c>
      <c r="R1201" s="3" t="s">
        <v>61</v>
      </c>
      <c r="S1201" s="3">
        <v>56</v>
      </c>
      <c r="T1201" s="3">
        <v>5</v>
      </c>
      <c r="U1201" s="3">
        <v>51</v>
      </c>
      <c r="V1201" s="3">
        <v>29</v>
      </c>
      <c r="W1201" s="3">
        <v>0</v>
      </c>
      <c r="X1201" s="3" t="s">
        <v>147</v>
      </c>
      <c r="Y1201" s="3">
        <v>0</v>
      </c>
      <c r="Z1201" s="3">
        <v>0</v>
      </c>
      <c r="AA1201" s="3">
        <v>0</v>
      </c>
      <c r="AB1201" s="3">
        <v>0</v>
      </c>
      <c r="AC1201" s="3">
        <v>12</v>
      </c>
      <c r="AD1201" s="3">
        <v>7</v>
      </c>
      <c r="AE1201" s="3">
        <v>14</v>
      </c>
      <c r="AF1201" s="3" t="s">
        <v>0</v>
      </c>
      <c r="AG1201" s="3" t="s">
        <v>49</v>
      </c>
    </row>
    <row r="1202" spans="1:33" ht="127.5" x14ac:dyDescent="0.2">
      <c r="A1202" s="5" t="str">
        <f>HYPERLINK("http://www.patentics.cn/invokexml.do?sf=ShowPatent&amp;spn=US9495326&amp;sv=69c85242125c019152978a02dc3e72e0","US9495326")</f>
        <v>US9495326</v>
      </c>
      <c r="B1202" s="3" t="s">
        <v>5539</v>
      </c>
      <c r="C1202" s="3" t="s">
        <v>5540</v>
      </c>
      <c r="D1202" s="3" t="s">
        <v>52</v>
      </c>
      <c r="E1202" s="3" t="s">
        <v>52</v>
      </c>
      <c r="F1202" s="3" t="s">
        <v>5541</v>
      </c>
      <c r="G1202" s="3" t="s">
        <v>5542</v>
      </c>
      <c r="H1202" s="3" t="s">
        <v>5543</v>
      </c>
      <c r="I1202" s="3" t="s">
        <v>1330</v>
      </c>
      <c r="J1202" s="3" t="s">
        <v>1677</v>
      </c>
      <c r="K1202" s="3" t="s">
        <v>555</v>
      </c>
      <c r="L1202" s="3" t="s">
        <v>1553</v>
      </c>
      <c r="M1202" s="3" t="s">
        <v>555</v>
      </c>
      <c r="N1202" s="3" t="s">
        <v>5544</v>
      </c>
      <c r="O1202" s="3">
        <v>0</v>
      </c>
      <c r="P1202" s="3">
        <v>7</v>
      </c>
      <c r="Q1202" s="3" t="s">
        <v>60</v>
      </c>
      <c r="R1202" s="3" t="s">
        <v>61</v>
      </c>
      <c r="S1202" s="3">
        <v>64</v>
      </c>
      <c r="T1202" s="3">
        <v>8</v>
      </c>
      <c r="U1202" s="3">
        <v>56</v>
      </c>
      <c r="V1202" s="3">
        <v>30</v>
      </c>
      <c r="W1202" s="3">
        <v>0</v>
      </c>
      <c r="X1202" s="3" t="s">
        <v>147</v>
      </c>
      <c r="Y1202" s="3">
        <v>0</v>
      </c>
      <c r="Z1202" s="3">
        <v>0</v>
      </c>
      <c r="AA1202" s="3">
        <v>0</v>
      </c>
      <c r="AB1202" s="3">
        <v>0</v>
      </c>
      <c r="AC1202" s="3">
        <v>11</v>
      </c>
      <c r="AD1202" s="3">
        <v>6</v>
      </c>
      <c r="AE1202" s="3">
        <v>14</v>
      </c>
      <c r="AF1202" s="3" t="s">
        <v>0</v>
      </c>
      <c r="AG1202" s="3" t="s">
        <v>49</v>
      </c>
    </row>
    <row r="1203" spans="1:33" ht="38.25" x14ac:dyDescent="0.2">
      <c r="A1203" s="4" t="str">
        <f>HYPERLINK("http://www.patentics.cn/invokexml.do?sf=ShowPatent&amp;spn=CN101192165&amp;sv=b0561a445d3253d4ba58fd6d87507fc2","CN101192165")</f>
        <v>CN101192165</v>
      </c>
      <c r="B1203" s="2" t="s">
        <v>5545</v>
      </c>
      <c r="C1203" s="2" t="s">
        <v>5546</v>
      </c>
      <c r="D1203" s="2" t="s">
        <v>38</v>
      </c>
      <c r="E1203" s="2" t="s">
        <v>38</v>
      </c>
      <c r="F1203" s="2" t="s">
        <v>5547</v>
      </c>
      <c r="G1203" s="2" t="s">
        <v>5548</v>
      </c>
      <c r="H1203" s="2" t="s">
        <v>5549</v>
      </c>
      <c r="I1203" s="2" t="s">
        <v>5549</v>
      </c>
      <c r="J1203" s="2" t="s">
        <v>5550</v>
      </c>
      <c r="K1203" s="2" t="s">
        <v>555</v>
      </c>
      <c r="L1203" s="2" t="s">
        <v>5551</v>
      </c>
      <c r="M1203" s="2" t="s">
        <v>555</v>
      </c>
      <c r="N1203" s="2" t="s">
        <v>5552</v>
      </c>
      <c r="O1203" s="2">
        <v>9</v>
      </c>
      <c r="P1203" s="2">
        <v>9</v>
      </c>
      <c r="Q1203" s="2" t="s">
        <v>46</v>
      </c>
      <c r="R1203" s="2" t="s">
        <v>47</v>
      </c>
      <c r="S1203" s="2">
        <v>0</v>
      </c>
      <c r="T1203" s="2">
        <v>0</v>
      </c>
      <c r="U1203" s="2">
        <v>0</v>
      </c>
      <c r="V1203" s="2">
        <v>0</v>
      </c>
      <c r="W1203" s="2">
        <v>16</v>
      </c>
      <c r="X1203" s="2" t="s">
        <v>5553</v>
      </c>
      <c r="Y1203" s="2">
        <v>3</v>
      </c>
      <c r="Z1203" s="2">
        <v>13</v>
      </c>
      <c r="AA1203" s="2">
        <v>9</v>
      </c>
      <c r="AB1203" s="2">
        <v>4</v>
      </c>
      <c r="AC1203" s="2">
        <v>1</v>
      </c>
      <c r="AD1203" s="2">
        <v>1</v>
      </c>
      <c r="AE1203" s="2" t="s">
        <v>0</v>
      </c>
      <c r="AF1203" s="2">
        <v>2</v>
      </c>
      <c r="AG1203" s="2" t="s">
        <v>49</v>
      </c>
    </row>
    <row r="1204" spans="1:33" ht="25.5" x14ac:dyDescent="0.2">
      <c r="A1204" s="5" t="str">
        <f>HYPERLINK("http://www.patentics.cn/invokexml.do?sf=ShowPatent&amp;spn=US8938609&amp;sv=527ef16033d37c62be4a49d5dd168c50","US8938609")</f>
        <v>US8938609</v>
      </c>
      <c r="B1204" s="3" t="s">
        <v>5554</v>
      </c>
      <c r="C1204" s="3" t="s">
        <v>5555</v>
      </c>
      <c r="D1204" s="3" t="s">
        <v>52</v>
      </c>
      <c r="E1204" s="3" t="s">
        <v>52</v>
      </c>
      <c r="F1204" s="3" t="s">
        <v>5556</v>
      </c>
      <c r="G1204" s="3" t="s">
        <v>5556</v>
      </c>
      <c r="H1204" s="3" t="s">
        <v>5557</v>
      </c>
      <c r="I1204" s="3" t="s">
        <v>616</v>
      </c>
      <c r="J1204" s="3" t="s">
        <v>5558</v>
      </c>
      <c r="K1204" s="3" t="s">
        <v>555</v>
      </c>
      <c r="L1204" s="3" t="s">
        <v>5559</v>
      </c>
      <c r="M1204" s="3" t="s">
        <v>555</v>
      </c>
      <c r="N1204" s="3" t="s">
        <v>5560</v>
      </c>
      <c r="O1204" s="3">
        <v>0</v>
      </c>
      <c r="P1204" s="3">
        <v>12</v>
      </c>
      <c r="Q1204" s="3" t="s">
        <v>60</v>
      </c>
      <c r="R1204" s="3" t="s">
        <v>61</v>
      </c>
      <c r="S1204" s="3">
        <v>22</v>
      </c>
      <c r="T1204" s="3">
        <v>3</v>
      </c>
      <c r="U1204" s="3">
        <v>19</v>
      </c>
      <c r="V1204" s="3">
        <v>11</v>
      </c>
      <c r="W1204" s="3">
        <v>0</v>
      </c>
      <c r="X1204" s="3" t="s">
        <v>147</v>
      </c>
      <c r="Y1204" s="3">
        <v>0</v>
      </c>
      <c r="Z1204" s="3">
        <v>0</v>
      </c>
      <c r="AA1204" s="3">
        <v>0</v>
      </c>
      <c r="AB1204" s="3">
        <v>0</v>
      </c>
      <c r="AC1204" s="3">
        <v>8</v>
      </c>
      <c r="AD1204" s="3">
        <v>4</v>
      </c>
      <c r="AE1204" s="3">
        <v>14</v>
      </c>
      <c r="AF1204" s="3" t="s">
        <v>0</v>
      </c>
      <c r="AG1204" s="3" t="s">
        <v>49</v>
      </c>
    </row>
    <row r="1205" spans="1:33" ht="102" x14ac:dyDescent="0.2">
      <c r="A1205" s="5" t="str">
        <f>HYPERLINK("http://www.patentics.cn/invokexml.do?sf=ShowPatent&amp;spn=CN102640138B&amp;sv=b70624921fa4810f70d6a35fc1ad650c","CN102640138B")</f>
        <v>CN102640138B</v>
      </c>
      <c r="B1205" s="3" t="s">
        <v>5561</v>
      </c>
      <c r="C1205" s="3" t="s">
        <v>5562</v>
      </c>
      <c r="D1205" s="3" t="s">
        <v>338</v>
      </c>
      <c r="E1205" s="3" t="s">
        <v>338</v>
      </c>
      <c r="F1205" s="3" t="s">
        <v>5563</v>
      </c>
      <c r="G1205" s="3" t="s">
        <v>5564</v>
      </c>
      <c r="H1205" s="3" t="s">
        <v>5557</v>
      </c>
      <c r="I1205" s="3" t="s">
        <v>4813</v>
      </c>
      <c r="J1205" s="3" t="s">
        <v>1192</v>
      </c>
      <c r="K1205" s="3" t="s">
        <v>555</v>
      </c>
      <c r="L1205" s="3" t="s">
        <v>1271</v>
      </c>
      <c r="M1205" s="3" t="s">
        <v>0</v>
      </c>
      <c r="N1205" s="3" t="s">
        <v>0</v>
      </c>
      <c r="O1205" s="3">
        <v>36</v>
      </c>
      <c r="P1205" s="3">
        <v>11</v>
      </c>
      <c r="Q1205" s="3" t="s">
        <v>60</v>
      </c>
      <c r="R1205" s="3" t="s">
        <v>61</v>
      </c>
      <c r="S1205" s="3">
        <v>4</v>
      </c>
      <c r="T1205" s="3">
        <v>0</v>
      </c>
      <c r="U1205" s="3">
        <v>4</v>
      </c>
      <c r="V1205" s="3">
        <v>3</v>
      </c>
      <c r="W1205" s="3">
        <v>0</v>
      </c>
      <c r="X1205" s="3" t="s">
        <v>147</v>
      </c>
      <c r="Y1205" s="3">
        <v>0</v>
      </c>
      <c r="Z1205" s="3">
        <v>0</v>
      </c>
      <c r="AA1205" s="3">
        <v>0</v>
      </c>
      <c r="AB1205" s="3">
        <v>0</v>
      </c>
      <c r="AC1205" s="3">
        <v>8</v>
      </c>
      <c r="AD1205" s="3">
        <v>4</v>
      </c>
      <c r="AE1205" s="3">
        <v>14</v>
      </c>
      <c r="AF1205" s="3" t="s">
        <v>0</v>
      </c>
      <c r="AG1205" s="3" t="s">
        <v>49</v>
      </c>
    </row>
    <row r="1206" spans="1:33" ht="25.5" x14ac:dyDescent="0.2">
      <c r="A1206" s="4" t="str">
        <f>HYPERLINK("http://www.patentics.cn/invokexml.do?sf=ShowPatent&amp;spn=CN101179361&amp;sv=2e18e1d654fee51ab12f1836b0128a21","CN101179361")</f>
        <v>CN101179361</v>
      </c>
      <c r="B1206" s="2" t="s">
        <v>5565</v>
      </c>
      <c r="C1206" s="2" t="s">
        <v>5566</v>
      </c>
      <c r="D1206" s="2" t="s">
        <v>38</v>
      </c>
      <c r="E1206" s="2" t="s">
        <v>38</v>
      </c>
      <c r="F1206" s="2" t="s">
        <v>5567</v>
      </c>
      <c r="G1206" s="2" t="s">
        <v>2892</v>
      </c>
      <c r="H1206" s="2" t="s">
        <v>5568</v>
      </c>
      <c r="I1206" s="2" t="s">
        <v>5568</v>
      </c>
      <c r="J1206" s="2" t="s">
        <v>3863</v>
      </c>
      <c r="K1206" s="2" t="s">
        <v>58</v>
      </c>
      <c r="L1206" s="2" t="s">
        <v>2734</v>
      </c>
      <c r="M1206" s="2" t="s">
        <v>58</v>
      </c>
      <c r="N1206" s="2" t="s">
        <v>1785</v>
      </c>
      <c r="O1206" s="2">
        <v>9</v>
      </c>
      <c r="P1206" s="2">
        <v>24</v>
      </c>
      <c r="Q1206" s="2" t="s">
        <v>46</v>
      </c>
      <c r="R1206" s="2" t="s">
        <v>47</v>
      </c>
      <c r="S1206" s="2">
        <v>0</v>
      </c>
      <c r="T1206" s="2">
        <v>0</v>
      </c>
      <c r="U1206" s="2">
        <v>0</v>
      </c>
      <c r="V1206" s="2">
        <v>0</v>
      </c>
      <c r="W1206" s="2">
        <v>10</v>
      </c>
      <c r="X1206" s="2" t="s">
        <v>5569</v>
      </c>
      <c r="Y1206" s="2">
        <v>4</v>
      </c>
      <c r="Z1206" s="2">
        <v>6</v>
      </c>
      <c r="AA1206" s="2">
        <v>4</v>
      </c>
      <c r="AB1206" s="2">
        <v>3</v>
      </c>
      <c r="AC1206" s="2">
        <v>1</v>
      </c>
      <c r="AD1206" s="2">
        <v>1</v>
      </c>
      <c r="AE1206" s="2" t="s">
        <v>0</v>
      </c>
      <c r="AF1206" s="2">
        <v>2</v>
      </c>
      <c r="AG1206" s="2" t="s">
        <v>49</v>
      </c>
    </row>
    <row r="1207" spans="1:33" ht="63.75" x14ac:dyDescent="0.2">
      <c r="A1207" s="5" t="str">
        <f>HYPERLINK("http://www.patentics.cn/invokexml.do?sf=ShowPatent&amp;spn=US8582539&amp;sv=36dd69caad38903e2737f53f574e36db","US8582539")</f>
        <v>US8582539</v>
      </c>
      <c r="B1207" s="3" t="s">
        <v>5570</v>
      </c>
      <c r="C1207" s="3" t="s">
        <v>5571</v>
      </c>
      <c r="D1207" s="3" t="s">
        <v>52</v>
      </c>
      <c r="E1207" s="3" t="s">
        <v>52</v>
      </c>
      <c r="F1207" s="3" t="s">
        <v>5572</v>
      </c>
      <c r="G1207" s="3" t="s">
        <v>5573</v>
      </c>
      <c r="H1207" s="3" t="s">
        <v>1607</v>
      </c>
      <c r="I1207" s="3" t="s">
        <v>1607</v>
      </c>
      <c r="J1207" s="3" t="s">
        <v>118</v>
      </c>
      <c r="K1207" s="3" t="s">
        <v>70</v>
      </c>
      <c r="L1207" s="3" t="s">
        <v>467</v>
      </c>
      <c r="M1207" s="3" t="s">
        <v>58</v>
      </c>
      <c r="N1207" s="3" t="s">
        <v>5574</v>
      </c>
      <c r="O1207" s="3">
        <v>0</v>
      </c>
      <c r="P1207" s="3">
        <v>14</v>
      </c>
      <c r="Q1207" s="3" t="s">
        <v>60</v>
      </c>
      <c r="R1207" s="3" t="s">
        <v>61</v>
      </c>
      <c r="S1207" s="3">
        <v>24</v>
      </c>
      <c r="T1207" s="3">
        <v>0</v>
      </c>
      <c r="U1207" s="3">
        <v>24</v>
      </c>
      <c r="V1207" s="3">
        <v>18</v>
      </c>
      <c r="W1207" s="3">
        <v>0</v>
      </c>
      <c r="X1207" s="3" t="s">
        <v>147</v>
      </c>
      <c r="Y1207" s="3">
        <v>0</v>
      </c>
      <c r="Z1207" s="3">
        <v>0</v>
      </c>
      <c r="AA1207" s="3">
        <v>0</v>
      </c>
      <c r="AB1207" s="3">
        <v>0</v>
      </c>
      <c r="AC1207" s="3">
        <v>10</v>
      </c>
      <c r="AD1207" s="3">
        <v>7</v>
      </c>
      <c r="AE1207" s="3">
        <v>14</v>
      </c>
      <c r="AF1207" s="3" t="s">
        <v>0</v>
      </c>
      <c r="AG1207" s="3" t="s">
        <v>49</v>
      </c>
    </row>
    <row r="1208" spans="1:33" ht="38.25" x14ac:dyDescent="0.2">
      <c r="A1208" s="5" t="str">
        <f>HYPERLINK("http://www.patentics.cn/invokexml.do?sf=ShowPatent&amp;spn=CN102224699B&amp;sv=d2fba69f237341584953d0f9017ade2b","CN102224699B")</f>
        <v>CN102224699B</v>
      </c>
      <c r="B1208" s="3" t="s">
        <v>5575</v>
      </c>
      <c r="C1208" s="3" t="s">
        <v>5576</v>
      </c>
      <c r="D1208" s="3" t="s">
        <v>338</v>
      </c>
      <c r="E1208" s="3" t="s">
        <v>338</v>
      </c>
      <c r="F1208" s="3" t="s">
        <v>5577</v>
      </c>
      <c r="G1208" s="3" t="s">
        <v>5578</v>
      </c>
      <c r="H1208" s="3" t="s">
        <v>1607</v>
      </c>
      <c r="I1208" s="3" t="s">
        <v>5579</v>
      </c>
      <c r="J1208" s="3" t="s">
        <v>2793</v>
      </c>
      <c r="K1208" s="3" t="s">
        <v>58</v>
      </c>
      <c r="L1208" s="3" t="s">
        <v>2734</v>
      </c>
      <c r="M1208" s="3" t="s">
        <v>0</v>
      </c>
      <c r="N1208" s="3" t="s">
        <v>0</v>
      </c>
      <c r="O1208" s="3">
        <v>60</v>
      </c>
      <c r="P1208" s="3">
        <v>18</v>
      </c>
      <c r="Q1208" s="3" t="s">
        <v>60</v>
      </c>
      <c r="R1208" s="3" t="s">
        <v>61</v>
      </c>
      <c r="S1208" s="3">
        <v>4</v>
      </c>
      <c r="T1208" s="3">
        <v>0</v>
      </c>
      <c r="U1208" s="3">
        <v>4</v>
      </c>
      <c r="V1208" s="3">
        <v>4</v>
      </c>
      <c r="W1208" s="3">
        <v>0</v>
      </c>
      <c r="X1208" s="3" t="s">
        <v>147</v>
      </c>
      <c r="Y1208" s="3">
        <v>0</v>
      </c>
      <c r="Z1208" s="3">
        <v>0</v>
      </c>
      <c r="AA1208" s="3">
        <v>0</v>
      </c>
      <c r="AB1208" s="3">
        <v>0</v>
      </c>
      <c r="AC1208" s="3">
        <v>10</v>
      </c>
      <c r="AD1208" s="3">
        <v>7</v>
      </c>
      <c r="AE1208" s="3">
        <v>14</v>
      </c>
      <c r="AF1208" s="3" t="s">
        <v>0</v>
      </c>
      <c r="AG1208" s="3" t="s">
        <v>49</v>
      </c>
    </row>
    <row r="1209" spans="1:33" ht="25.5" x14ac:dyDescent="0.2">
      <c r="A1209" s="4" t="str">
        <f>HYPERLINK("http://www.patentics.cn/invokexml.do?sf=ShowPatent&amp;spn=CN101179546&amp;sv=58ccf0c04eec937825d9902ffe4b8f3f","CN101179546")</f>
        <v>CN101179546</v>
      </c>
      <c r="B1209" s="2" t="s">
        <v>5580</v>
      </c>
      <c r="C1209" s="2" t="s">
        <v>5581</v>
      </c>
      <c r="D1209" s="2" t="s">
        <v>38</v>
      </c>
      <c r="E1209" s="2" t="s">
        <v>38</v>
      </c>
      <c r="F1209" s="2" t="s">
        <v>5582</v>
      </c>
      <c r="G1209" s="2" t="s">
        <v>1297</v>
      </c>
      <c r="H1209" s="2" t="s">
        <v>0</v>
      </c>
      <c r="I1209" s="2" t="s">
        <v>1328</v>
      </c>
      <c r="J1209" s="2" t="s">
        <v>3863</v>
      </c>
      <c r="K1209" s="2" t="s">
        <v>58</v>
      </c>
      <c r="L1209" s="2" t="s">
        <v>326</v>
      </c>
      <c r="M1209" s="2" t="s">
        <v>84</v>
      </c>
      <c r="N1209" s="2" t="s">
        <v>2183</v>
      </c>
      <c r="O1209" s="2">
        <v>6</v>
      </c>
      <c r="P1209" s="2">
        <v>19</v>
      </c>
      <c r="Q1209" s="2" t="s">
        <v>46</v>
      </c>
      <c r="R1209" s="2" t="s">
        <v>47</v>
      </c>
      <c r="S1209" s="2">
        <v>0</v>
      </c>
      <c r="T1209" s="2">
        <v>0</v>
      </c>
      <c r="U1209" s="2">
        <v>0</v>
      </c>
      <c r="V1209" s="2">
        <v>0</v>
      </c>
      <c r="W1209" s="2">
        <v>4</v>
      </c>
      <c r="X1209" s="2" t="s">
        <v>2499</v>
      </c>
      <c r="Y1209" s="2">
        <v>0</v>
      </c>
      <c r="Z1209" s="2">
        <v>4</v>
      </c>
      <c r="AA1209" s="2">
        <v>3</v>
      </c>
      <c r="AB1209" s="2">
        <v>2</v>
      </c>
      <c r="AC1209" s="2">
        <v>0</v>
      </c>
      <c r="AD1209" s="2">
        <v>0</v>
      </c>
      <c r="AE1209" s="2" t="s">
        <v>0</v>
      </c>
      <c r="AF1209" s="2">
        <v>2</v>
      </c>
      <c r="AG1209" s="2" t="s">
        <v>2523</v>
      </c>
    </row>
    <row r="1210" spans="1:33" ht="51" x14ac:dyDescent="0.2">
      <c r="A1210" s="5" t="str">
        <f>HYPERLINK("http://www.patentics.cn/invokexml.do?sf=ShowPatent&amp;spn=US8902862&amp;sv=acb882e0157becb0cc68438dadd1816c","US8902862")</f>
        <v>US8902862</v>
      </c>
      <c r="B1210" s="3" t="s">
        <v>5583</v>
      </c>
      <c r="C1210" s="3" t="s">
        <v>5584</v>
      </c>
      <c r="D1210" s="3" t="s">
        <v>52</v>
      </c>
      <c r="E1210" s="3" t="s">
        <v>52</v>
      </c>
      <c r="F1210" s="3" t="s">
        <v>5585</v>
      </c>
      <c r="G1210" s="3" t="s">
        <v>5586</v>
      </c>
      <c r="H1210" s="3" t="s">
        <v>3868</v>
      </c>
      <c r="I1210" s="3" t="s">
        <v>5587</v>
      </c>
      <c r="J1210" s="3" t="s">
        <v>1842</v>
      </c>
      <c r="K1210" s="3" t="s">
        <v>70</v>
      </c>
      <c r="L1210" s="3" t="s">
        <v>467</v>
      </c>
      <c r="M1210" s="3" t="s">
        <v>58</v>
      </c>
      <c r="N1210" s="3" t="s">
        <v>512</v>
      </c>
      <c r="O1210" s="3">
        <v>0</v>
      </c>
      <c r="P1210" s="3">
        <v>11</v>
      </c>
      <c r="Q1210" s="3" t="s">
        <v>60</v>
      </c>
      <c r="R1210" s="3" t="s">
        <v>61</v>
      </c>
      <c r="S1210" s="3">
        <v>7</v>
      </c>
      <c r="T1210" s="3">
        <v>1</v>
      </c>
      <c r="U1210" s="3">
        <v>6</v>
      </c>
      <c r="V1210" s="3">
        <v>3</v>
      </c>
      <c r="W1210" s="3">
        <v>19</v>
      </c>
      <c r="X1210" s="3" t="s">
        <v>378</v>
      </c>
      <c r="Y1210" s="3">
        <v>0</v>
      </c>
      <c r="Z1210" s="3">
        <v>19</v>
      </c>
      <c r="AA1210" s="3">
        <v>1</v>
      </c>
      <c r="AB1210" s="3">
        <v>2</v>
      </c>
      <c r="AC1210" s="3">
        <v>63</v>
      </c>
      <c r="AD1210" s="3">
        <v>13</v>
      </c>
      <c r="AE1210" s="3">
        <v>14</v>
      </c>
      <c r="AF1210" s="3" t="s">
        <v>0</v>
      </c>
      <c r="AG1210" s="3" t="s">
        <v>49</v>
      </c>
    </row>
    <row r="1211" spans="1:33" ht="25.5" x14ac:dyDescent="0.2">
      <c r="A1211" s="5" t="str">
        <f>HYPERLINK("http://www.patentics.cn/invokexml.do?sf=ShowPatent&amp;spn=CN102119514B&amp;sv=e083792bb8ef927e9bc1c231d58414e1","CN102119514B")</f>
        <v>CN102119514B</v>
      </c>
      <c r="B1211" s="3" t="s">
        <v>5588</v>
      </c>
      <c r="C1211" s="3" t="s">
        <v>5589</v>
      </c>
      <c r="D1211" s="3" t="s">
        <v>338</v>
      </c>
      <c r="E1211" s="3" t="s">
        <v>338</v>
      </c>
      <c r="F1211" s="3" t="s">
        <v>5590</v>
      </c>
      <c r="G1211" s="3" t="s">
        <v>5591</v>
      </c>
      <c r="H1211" s="3" t="s">
        <v>3868</v>
      </c>
      <c r="I1211" s="3" t="s">
        <v>5587</v>
      </c>
      <c r="J1211" s="3" t="s">
        <v>5592</v>
      </c>
      <c r="K1211" s="3" t="s">
        <v>58</v>
      </c>
      <c r="L1211" s="3" t="s">
        <v>5593</v>
      </c>
      <c r="M1211" s="3" t="s">
        <v>0</v>
      </c>
      <c r="N1211" s="3" t="s">
        <v>0</v>
      </c>
      <c r="O1211" s="3">
        <v>23</v>
      </c>
      <c r="P1211" s="3">
        <v>15</v>
      </c>
      <c r="Q1211" s="3" t="s">
        <v>60</v>
      </c>
      <c r="R1211" s="3" t="s">
        <v>61</v>
      </c>
      <c r="S1211" s="3">
        <v>3</v>
      </c>
      <c r="T1211" s="3">
        <v>1</v>
      </c>
      <c r="U1211" s="3">
        <v>2</v>
      </c>
      <c r="V1211" s="3">
        <v>2</v>
      </c>
      <c r="W1211" s="3">
        <v>18</v>
      </c>
      <c r="X1211" s="3" t="s">
        <v>147</v>
      </c>
      <c r="Y1211" s="3">
        <v>0</v>
      </c>
      <c r="Z1211" s="3">
        <v>18</v>
      </c>
      <c r="AA1211" s="3">
        <v>0</v>
      </c>
      <c r="AB1211" s="3">
        <v>1</v>
      </c>
      <c r="AC1211" s="3">
        <v>63</v>
      </c>
      <c r="AD1211" s="3">
        <v>13</v>
      </c>
      <c r="AE1211" s="3">
        <v>14</v>
      </c>
      <c r="AF1211" s="3" t="s">
        <v>0</v>
      </c>
      <c r="AG1211" s="3" t="s">
        <v>49</v>
      </c>
    </row>
    <row r="1212" spans="1:33" ht="25.5" x14ac:dyDescent="0.2">
      <c r="A1212" s="4" t="str">
        <f>HYPERLINK("http://www.patentics.cn/invokexml.do?sf=ShowPatent&amp;spn=CN101170527&amp;sv=4c72966e20c7b3289421a752e9ad8dd4","CN101170527")</f>
        <v>CN101170527</v>
      </c>
      <c r="B1212" s="2" t="s">
        <v>5594</v>
      </c>
      <c r="C1212" s="2" t="s">
        <v>5595</v>
      </c>
      <c r="D1212" s="2" t="s">
        <v>38</v>
      </c>
      <c r="E1212" s="2" t="s">
        <v>38</v>
      </c>
      <c r="F1212" s="2" t="s">
        <v>1297</v>
      </c>
      <c r="G1212" s="2" t="s">
        <v>1297</v>
      </c>
      <c r="H1212" s="2" t="s">
        <v>1360</v>
      </c>
      <c r="I1212" s="2" t="s">
        <v>1360</v>
      </c>
      <c r="J1212" s="2" t="s">
        <v>492</v>
      </c>
      <c r="K1212" s="2" t="s">
        <v>58</v>
      </c>
      <c r="L1212" s="2" t="s">
        <v>4713</v>
      </c>
      <c r="M1212" s="2" t="s">
        <v>58</v>
      </c>
      <c r="N1212" s="2" t="s">
        <v>5596</v>
      </c>
      <c r="O1212" s="2">
        <v>10</v>
      </c>
      <c r="P1212" s="2">
        <v>21</v>
      </c>
      <c r="Q1212" s="2" t="s">
        <v>46</v>
      </c>
      <c r="R1212" s="2" t="s">
        <v>47</v>
      </c>
      <c r="S1212" s="2">
        <v>0</v>
      </c>
      <c r="T1212" s="2">
        <v>0</v>
      </c>
      <c r="U1212" s="2">
        <v>0</v>
      </c>
      <c r="V1212" s="2">
        <v>0</v>
      </c>
      <c r="W1212" s="2">
        <v>4</v>
      </c>
      <c r="X1212" s="2" t="s">
        <v>1022</v>
      </c>
      <c r="Y1212" s="2">
        <v>0</v>
      </c>
      <c r="Z1212" s="2">
        <v>4</v>
      </c>
      <c r="AA1212" s="2">
        <v>2</v>
      </c>
      <c r="AB1212" s="2">
        <v>3</v>
      </c>
      <c r="AC1212" s="2">
        <v>1</v>
      </c>
      <c r="AD1212" s="2">
        <v>1</v>
      </c>
      <c r="AE1212" s="2" t="s">
        <v>0</v>
      </c>
      <c r="AF1212" s="2">
        <v>2</v>
      </c>
      <c r="AG1212" s="2" t="s">
        <v>49</v>
      </c>
    </row>
    <row r="1213" spans="1:33" ht="63.75" x14ac:dyDescent="0.2">
      <c r="A1213" s="5" t="str">
        <f>HYPERLINK("http://www.patentics.cn/invokexml.do?sf=ShowPatent&amp;spn=US9363110&amp;sv=9348929b749832be6af967c5b1bb3121","US9363110")</f>
        <v>US9363110</v>
      </c>
      <c r="B1213" s="3" t="s">
        <v>5597</v>
      </c>
      <c r="C1213" s="3" t="s">
        <v>5598</v>
      </c>
      <c r="D1213" s="3" t="s">
        <v>52</v>
      </c>
      <c r="E1213" s="3" t="s">
        <v>52</v>
      </c>
      <c r="F1213" s="3" t="s">
        <v>5599</v>
      </c>
      <c r="G1213" s="3" t="s">
        <v>5600</v>
      </c>
      <c r="H1213" s="3" t="s">
        <v>5601</v>
      </c>
      <c r="I1213" s="3" t="s">
        <v>5601</v>
      </c>
      <c r="J1213" s="3" t="s">
        <v>3715</v>
      </c>
      <c r="K1213" s="3" t="s">
        <v>5602</v>
      </c>
      <c r="L1213" s="3" t="s">
        <v>5603</v>
      </c>
      <c r="M1213" s="3" t="s">
        <v>58</v>
      </c>
      <c r="N1213" s="3" t="s">
        <v>5604</v>
      </c>
      <c r="O1213" s="3">
        <v>0</v>
      </c>
      <c r="P1213" s="3">
        <v>25</v>
      </c>
      <c r="Q1213" s="3" t="s">
        <v>60</v>
      </c>
      <c r="R1213" s="3" t="s">
        <v>47</v>
      </c>
      <c r="S1213" s="3">
        <v>17</v>
      </c>
      <c r="T1213" s="3">
        <v>1</v>
      </c>
      <c r="U1213" s="3">
        <v>16</v>
      </c>
      <c r="V1213" s="3">
        <v>14</v>
      </c>
      <c r="W1213" s="3">
        <v>0</v>
      </c>
      <c r="X1213" s="3" t="s">
        <v>147</v>
      </c>
      <c r="Y1213" s="3">
        <v>0</v>
      </c>
      <c r="Z1213" s="3">
        <v>0</v>
      </c>
      <c r="AA1213" s="3">
        <v>0</v>
      </c>
      <c r="AB1213" s="3">
        <v>0</v>
      </c>
      <c r="AC1213" s="3">
        <v>2</v>
      </c>
      <c r="AD1213" s="3">
        <v>2</v>
      </c>
      <c r="AE1213" s="3">
        <v>14</v>
      </c>
      <c r="AF1213" s="3" t="s">
        <v>0</v>
      </c>
      <c r="AG1213" s="3" t="s">
        <v>49</v>
      </c>
    </row>
    <row r="1214" spans="1:33" ht="63.75" x14ac:dyDescent="0.2">
      <c r="A1214" s="5" t="str">
        <f>HYPERLINK("http://www.patentics.cn/invokexml.do?sf=ShowPatent&amp;spn=WO2014107835&amp;sv=b73c566dad8136b276608b683442b0fd","WO2014107835")</f>
        <v>WO2014107835</v>
      </c>
      <c r="B1214" s="3" t="s">
        <v>5605</v>
      </c>
      <c r="C1214" s="3" t="s">
        <v>5606</v>
      </c>
      <c r="D1214" s="3" t="s">
        <v>5607</v>
      </c>
      <c r="E1214" s="3" t="s">
        <v>5608</v>
      </c>
      <c r="F1214" s="3" t="s">
        <v>5609</v>
      </c>
      <c r="G1214" s="3" t="s">
        <v>5610</v>
      </c>
      <c r="H1214" s="3" t="s">
        <v>5601</v>
      </c>
      <c r="I1214" s="3" t="s">
        <v>5601</v>
      </c>
      <c r="J1214" s="3" t="s">
        <v>4993</v>
      </c>
      <c r="K1214" s="3" t="s">
        <v>58</v>
      </c>
      <c r="L1214" s="3" t="s">
        <v>4713</v>
      </c>
      <c r="M1214" s="3" t="s">
        <v>0</v>
      </c>
      <c r="N1214" s="3" t="s">
        <v>0</v>
      </c>
      <c r="O1214" s="3">
        <v>19</v>
      </c>
      <c r="P1214" s="3">
        <v>18</v>
      </c>
      <c r="Q1214" s="3" t="s">
        <v>352</v>
      </c>
      <c r="R1214" s="3" t="s">
        <v>47</v>
      </c>
      <c r="S1214" s="3">
        <v>4</v>
      </c>
      <c r="T1214" s="3">
        <v>0</v>
      </c>
      <c r="U1214" s="3">
        <v>4</v>
      </c>
      <c r="V1214" s="3">
        <v>4</v>
      </c>
      <c r="W1214" s="3">
        <v>0</v>
      </c>
      <c r="X1214" s="3" t="s">
        <v>147</v>
      </c>
      <c r="Y1214" s="3">
        <v>0</v>
      </c>
      <c r="Z1214" s="3">
        <v>0</v>
      </c>
      <c r="AA1214" s="3">
        <v>0</v>
      </c>
      <c r="AB1214" s="3">
        <v>0</v>
      </c>
      <c r="AC1214" s="3">
        <v>2</v>
      </c>
      <c r="AD1214" s="3">
        <v>2</v>
      </c>
      <c r="AE1214" s="3">
        <v>14</v>
      </c>
      <c r="AF1214" s="3" t="s">
        <v>0</v>
      </c>
      <c r="AG1214" s="3" t="s">
        <v>0</v>
      </c>
    </row>
    <row r="1215" spans="1:33" ht="25.5" x14ac:dyDescent="0.2">
      <c r="A1215" s="4" t="str">
        <f>HYPERLINK("http://www.patentics.cn/invokexml.do?sf=ShowPatent&amp;spn=CN101155416&amp;sv=2e3a5636ff2747821bc905e1a9475835","CN101155416")</f>
        <v>CN101155416</v>
      </c>
      <c r="B1215" s="2" t="s">
        <v>5611</v>
      </c>
      <c r="C1215" s="2" t="s">
        <v>5612</v>
      </c>
      <c r="D1215" s="2" t="s">
        <v>38</v>
      </c>
      <c r="E1215" s="2" t="s">
        <v>38</v>
      </c>
      <c r="F1215" s="2" t="s">
        <v>5613</v>
      </c>
      <c r="G1215" s="2" t="s">
        <v>5613</v>
      </c>
      <c r="H1215" s="2" t="s">
        <v>3611</v>
      </c>
      <c r="I1215" s="2" t="s">
        <v>3611</v>
      </c>
      <c r="J1215" s="2" t="s">
        <v>5614</v>
      </c>
      <c r="K1215" s="2" t="s">
        <v>43</v>
      </c>
      <c r="L1215" s="2" t="s">
        <v>2591</v>
      </c>
      <c r="M1215" s="2" t="s">
        <v>43</v>
      </c>
      <c r="N1215" s="2" t="s">
        <v>45</v>
      </c>
      <c r="O1215" s="2">
        <v>9</v>
      </c>
      <c r="P1215" s="2">
        <v>21</v>
      </c>
      <c r="Q1215" s="2" t="s">
        <v>46</v>
      </c>
      <c r="R1215" s="2" t="s">
        <v>47</v>
      </c>
      <c r="S1215" s="2">
        <v>0</v>
      </c>
      <c r="T1215" s="2">
        <v>0</v>
      </c>
      <c r="U1215" s="2">
        <v>0</v>
      </c>
      <c r="V1215" s="2">
        <v>0</v>
      </c>
      <c r="W1215" s="2">
        <v>22</v>
      </c>
      <c r="X1215" s="2" t="s">
        <v>5615</v>
      </c>
      <c r="Y1215" s="2">
        <v>5</v>
      </c>
      <c r="Z1215" s="2">
        <v>17</v>
      </c>
      <c r="AA1215" s="2">
        <v>5</v>
      </c>
      <c r="AB1215" s="2">
        <v>4</v>
      </c>
      <c r="AC1215" s="2">
        <v>17</v>
      </c>
      <c r="AD1215" s="2">
        <v>10</v>
      </c>
      <c r="AE1215" s="2" t="s">
        <v>0</v>
      </c>
      <c r="AF1215" s="2">
        <v>2</v>
      </c>
      <c r="AG1215" s="2" t="s">
        <v>49</v>
      </c>
    </row>
    <row r="1216" spans="1:33" ht="38.25" x14ac:dyDescent="0.2">
      <c r="A1216" s="5" t="str">
        <f>HYPERLINK("http://www.patentics.cn/invokexml.do?sf=ShowPatent&amp;spn=US9215626&amp;sv=1e4bbaf26734be708e27ba24dd53ddde","US9215626")</f>
        <v>US9215626</v>
      </c>
      <c r="B1216" s="3" t="s">
        <v>3614</v>
      </c>
      <c r="C1216" s="3" t="s">
        <v>3615</v>
      </c>
      <c r="D1216" s="3" t="s">
        <v>52</v>
      </c>
      <c r="E1216" s="3" t="s">
        <v>52</v>
      </c>
      <c r="F1216" s="3" t="s">
        <v>3616</v>
      </c>
      <c r="G1216" s="3" t="s">
        <v>3616</v>
      </c>
      <c r="H1216" s="3" t="s">
        <v>3617</v>
      </c>
      <c r="I1216" s="3" t="s">
        <v>3618</v>
      </c>
      <c r="J1216" s="3" t="s">
        <v>2568</v>
      </c>
      <c r="K1216" s="3" t="s">
        <v>82</v>
      </c>
      <c r="L1216" s="3" t="s">
        <v>83</v>
      </c>
      <c r="M1216" s="3" t="s">
        <v>82</v>
      </c>
      <c r="N1216" s="3" t="s">
        <v>3421</v>
      </c>
      <c r="O1216" s="3">
        <v>0</v>
      </c>
      <c r="P1216" s="3">
        <v>7</v>
      </c>
      <c r="Q1216" s="3" t="s">
        <v>60</v>
      </c>
      <c r="R1216" s="3" t="s">
        <v>61</v>
      </c>
      <c r="S1216" s="3">
        <v>22</v>
      </c>
      <c r="T1216" s="3">
        <v>1</v>
      </c>
      <c r="U1216" s="3">
        <v>21</v>
      </c>
      <c r="V1216" s="3">
        <v>13</v>
      </c>
      <c r="W1216" s="3">
        <v>12</v>
      </c>
      <c r="X1216" s="3" t="s">
        <v>147</v>
      </c>
      <c r="Y1216" s="3">
        <v>0</v>
      </c>
      <c r="Z1216" s="3">
        <v>12</v>
      </c>
      <c r="AA1216" s="3">
        <v>0</v>
      </c>
      <c r="AB1216" s="3">
        <v>1</v>
      </c>
      <c r="AC1216" s="3">
        <v>8</v>
      </c>
      <c r="AD1216" s="3">
        <v>6</v>
      </c>
      <c r="AE1216" s="3">
        <v>14</v>
      </c>
      <c r="AF1216" s="3" t="s">
        <v>0</v>
      </c>
      <c r="AG1216" s="3" t="s">
        <v>49</v>
      </c>
    </row>
    <row r="1217" spans="1:33" ht="25.5" x14ac:dyDescent="0.2">
      <c r="A1217" s="5" t="str">
        <f>HYPERLINK("http://www.patentics.cn/invokexml.do?sf=ShowPatent&amp;spn=CN103069878B&amp;sv=1339f79878df9ca235ba0351515bb410","CN103069878B")</f>
        <v>CN103069878B</v>
      </c>
      <c r="B1217" s="3" t="s">
        <v>3624</v>
      </c>
      <c r="C1217" s="3" t="s">
        <v>3625</v>
      </c>
      <c r="D1217" s="3" t="s">
        <v>338</v>
      </c>
      <c r="E1217" s="3" t="s">
        <v>338</v>
      </c>
      <c r="F1217" s="3" t="s">
        <v>3626</v>
      </c>
      <c r="G1217" s="3" t="s">
        <v>3626</v>
      </c>
      <c r="H1217" s="3" t="s">
        <v>3617</v>
      </c>
      <c r="I1217" s="3" t="s">
        <v>3623</v>
      </c>
      <c r="J1217" s="3" t="s">
        <v>2487</v>
      </c>
      <c r="K1217" s="3" t="s">
        <v>82</v>
      </c>
      <c r="L1217" s="3" t="s">
        <v>177</v>
      </c>
      <c r="M1217" s="3" t="s">
        <v>0</v>
      </c>
      <c r="N1217" s="3" t="s">
        <v>0</v>
      </c>
      <c r="O1217" s="3">
        <v>24</v>
      </c>
      <c r="P1217" s="3">
        <v>14</v>
      </c>
      <c r="Q1217" s="3" t="s">
        <v>60</v>
      </c>
      <c r="R1217" s="3" t="s">
        <v>61</v>
      </c>
      <c r="S1217" s="3">
        <v>3</v>
      </c>
      <c r="T1217" s="3">
        <v>0</v>
      </c>
      <c r="U1217" s="3">
        <v>3</v>
      </c>
      <c r="V1217" s="3">
        <v>2</v>
      </c>
      <c r="W1217" s="3">
        <v>12</v>
      </c>
      <c r="X1217" s="3" t="s">
        <v>147</v>
      </c>
      <c r="Y1217" s="3">
        <v>0</v>
      </c>
      <c r="Z1217" s="3">
        <v>12</v>
      </c>
      <c r="AA1217" s="3">
        <v>0</v>
      </c>
      <c r="AB1217" s="3">
        <v>1</v>
      </c>
      <c r="AC1217" s="3">
        <v>0</v>
      </c>
      <c r="AD1217" s="3">
        <v>0</v>
      </c>
      <c r="AE1217" s="3">
        <v>14</v>
      </c>
      <c r="AF1217" s="3" t="s">
        <v>0</v>
      </c>
      <c r="AG1217" s="3" t="s">
        <v>49</v>
      </c>
    </row>
    <row r="1218" spans="1:33" ht="25.5" x14ac:dyDescent="0.2">
      <c r="A1218" s="4" t="str">
        <f>HYPERLINK("http://www.patentics.cn/invokexml.do?sf=ShowPatent&amp;spn=CN101155365&amp;sv=fe2b6805bf21e1f36dcf89e7e72d1b64","CN101155365")</f>
        <v>CN101155365</v>
      </c>
      <c r="B1218" s="2" t="s">
        <v>5616</v>
      </c>
      <c r="C1218" s="2" t="s">
        <v>5617</v>
      </c>
      <c r="D1218" s="2" t="s">
        <v>38</v>
      </c>
      <c r="E1218" s="2" t="s">
        <v>38</v>
      </c>
      <c r="F1218" s="2" t="s">
        <v>5618</v>
      </c>
      <c r="G1218" s="2" t="s">
        <v>5619</v>
      </c>
      <c r="H1218" s="2" t="s">
        <v>0</v>
      </c>
      <c r="I1218" s="2" t="s">
        <v>5620</v>
      </c>
      <c r="J1218" s="2" t="s">
        <v>5614</v>
      </c>
      <c r="K1218" s="2" t="s">
        <v>43</v>
      </c>
      <c r="L1218" s="2" t="s">
        <v>2062</v>
      </c>
      <c r="M1218" s="2" t="s">
        <v>43</v>
      </c>
      <c r="N1218" s="2" t="s">
        <v>2146</v>
      </c>
      <c r="O1218" s="2">
        <v>5</v>
      </c>
      <c r="P1218" s="2">
        <v>18</v>
      </c>
      <c r="Q1218" s="2" t="s">
        <v>46</v>
      </c>
      <c r="R1218" s="2" t="s">
        <v>47</v>
      </c>
      <c r="S1218" s="2">
        <v>0</v>
      </c>
      <c r="T1218" s="2">
        <v>0</v>
      </c>
      <c r="U1218" s="2">
        <v>0</v>
      </c>
      <c r="V1218" s="2">
        <v>0</v>
      </c>
      <c r="W1218" s="2">
        <v>3</v>
      </c>
      <c r="X1218" s="2" t="s">
        <v>2303</v>
      </c>
      <c r="Y1218" s="2">
        <v>0</v>
      </c>
      <c r="Z1218" s="2">
        <v>3</v>
      </c>
      <c r="AA1218" s="2">
        <v>2</v>
      </c>
      <c r="AB1218" s="2">
        <v>2</v>
      </c>
      <c r="AC1218" s="2">
        <v>0</v>
      </c>
      <c r="AD1218" s="2">
        <v>0</v>
      </c>
      <c r="AE1218" s="2" t="s">
        <v>0</v>
      </c>
      <c r="AF1218" s="2">
        <v>2</v>
      </c>
      <c r="AG1218" s="2" t="s">
        <v>2523</v>
      </c>
    </row>
    <row r="1219" spans="1:33" ht="51" x14ac:dyDescent="0.2">
      <c r="A1219" s="5" t="str">
        <f>HYPERLINK("http://www.patentics.cn/invokexml.do?sf=ShowPatent&amp;spn=US8849262&amp;sv=c0c234ea59aba8a5f5f4d3dfca8c4da0","US8849262")</f>
        <v>US8849262</v>
      </c>
      <c r="B1219" s="3" t="s">
        <v>5621</v>
      </c>
      <c r="C1219" s="3" t="s">
        <v>5622</v>
      </c>
      <c r="D1219" s="3" t="s">
        <v>52</v>
      </c>
      <c r="E1219" s="3" t="s">
        <v>52</v>
      </c>
      <c r="F1219" s="3" t="s">
        <v>5623</v>
      </c>
      <c r="G1219" s="3" t="s">
        <v>5624</v>
      </c>
      <c r="H1219" s="3" t="s">
        <v>1254</v>
      </c>
      <c r="I1219" s="3" t="s">
        <v>1254</v>
      </c>
      <c r="J1219" s="3" t="s">
        <v>1481</v>
      </c>
      <c r="K1219" s="3" t="s">
        <v>270</v>
      </c>
      <c r="L1219" s="3" t="s">
        <v>5625</v>
      </c>
      <c r="M1219" s="3" t="s">
        <v>270</v>
      </c>
      <c r="N1219" s="3" t="s">
        <v>5626</v>
      </c>
      <c r="O1219" s="3">
        <v>0</v>
      </c>
      <c r="P1219" s="3">
        <v>18</v>
      </c>
      <c r="Q1219" s="3" t="s">
        <v>60</v>
      </c>
      <c r="R1219" s="3" t="s">
        <v>61</v>
      </c>
      <c r="S1219" s="3">
        <v>36</v>
      </c>
      <c r="T1219" s="3">
        <v>1</v>
      </c>
      <c r="U1219" s="3">
        <v>35</v>
      </c>
      <c r="V1219" s="3">
        <v>22</v>
      </c>
      <c r="W1219" s="3">
        <v>0</v>
      </c>
      <c r="X1219" s="3" t="s">
        <v>147</v>
      </c>
      <c r="Y1219" s="3">
        <v>0</v>
      </c>
      <c r="Z1219" s="3">
        <v>0</v>
      </c>
      <c r="AA1219" s="3">
        <v>0</v>
      </c>
      <c r="AB1219" s="3">
        <v>0</v>
      </c>
      <c r="AC1219" s="3">
        <v>11</v>
      </c>
      <c r="AD1219" s="3">
        <v>7</v>
      </c>
      <c r="AE1219" s="3">
        <v>14</v>
      </c>
      <c r="AF1219" s="3" t="s">
        <v>0</v>
      </c>
      <c r="AG1219" s="3" t="s">
        <v>49</v>
      </c>
    </row>
    <row r="1220" spans="1:33" ht="63.75" x14ac:dyDescent="0.2">
      <c r="A1220" s="5" t="str">
        <f>HYPERLINK("http://www.patentics.cn/invokexml.do?sf=ShowPatent&amp;spn=CN102934419B&amp;sv=564b50de892b7682d379af70346c5243","CN102934419B")</f>
        <v>CN102934419B</v>
      </c>
      <c r="B1220" s="3" t="s">
        <v>5627</v>
      </c>
      <c r="C1220" s="3" t="s">
        <v>5628</v>
      </c>
      <c r="D1220" s="3" t="s">
        <v>338</v>
      </c>
      <c r="E1220" s="3" t="s">
        <v>338</v>
      </c>
      <c r="F1220" s="3" t="s">
        <v>5629</v>
      </c>
      <c r="G1220" s="3" t="s">
        <v>5630</v>
      </c>
      <c r="H1220" s="3" t="s">
        <v>1934</v>
      </c>
      <c r="I1220" s="3" t="s">
        <v>2445</v>
      </c>
      <c r="J1220" s="3" t="s">
        <v>4979</v>
      </c>
      <c r="K1220" s="3" t="s">
        <v>270</v>
      </c>
      <c r="L1220" s="3" t="s">
        <v>5631</v>
      </c>
      <c r="M1220" s="3" t="s">
        <v>0</v>
      </c>
      <c r="N1220" s="3" t="s">
        <v>0</v>
      </c>
      <c r="O1220" s="3">
        <v>42</v>
      </c>
      <c r="P1220" s="3">
        <v>20</v>
      </c>
      <c r="Q1220" s="3" t="s">
        <v>60</v>
      </c>
      <c r="R1220" s="3" t="s">
        <v>61</v>
      </c>
      <c r="S1220" s="3">
        <v>4</v>
      </c>
      <c r="T1220" s="3">
        <v>1</v>
      </c>
      <c r="U1220" s="3">
        <v>3</v>
      </c>
      <c r="V1220" s="3">
        <v>4</v>
      </c>
      <c r="W1220" s="3">
        <v>0</v>
      </c>
      <c r="X1220" s="3" t="s">
        <v>147</v>
      </c>
      <c r="Y1220" s="3">
        <v>0</v>
      </c>
      <c r="Z1220" s="3">
        <v>0</v>
      </c>
      <c r="AA1220" s="3">
        <v>0</v>
      </c>
      <c r="AB1220" s="3">
        <v>0</v>
      </c>
      <c r="AC1220" s="3">
        <v>0</v>
      </c>
      <c r="AD1220" s="3">
        <v>0</v>
      </c>
      <c r="AE1220" s="3">
        <v>14</v>
      </c>
      <c r="AF1220" s="3" t="s">
        <v>0</v>
      </c>
      <c r="AG1220" s="3" t="s">
        <v>49</v>
      </c>
    </row>
    <row r="1221" spans="1:33" ht="51" x14ac:dyDescent="0.2">
      <c r="A1221" s="4" t="str">
        <f>HYPERLINK("http://www.patentics.cn/invokexml.do?sf=ShowPatent&amp;spn=CN101145890&amp;sv=dd3df0a899f691108979ebf3d7ef075f","CN101145890")</f>
        <v>CN101145890</v>
      </c>
      <c r="B1221" s="2" t="s">
        <v>5632</v>
      </c>
      <c r="C1221" s="2" t="s">
        <v>5633</v>
      </c>
      <c r="D1221" s="2" t="s">
        <v>38</v>
      </c>
      <c r="E1221" s="2" t="s">
        <v>38</v>
      </c>
      <c r="F1221" s="2" t="s">
        <v>5634</v>
      </c>
      <c r="G1221" s="2" t="s">
        <v>5635</v>
      </c>
      <c r="H1221" s="2" t="s">
        <v>5636</v>
      </c>
      <c r="I1221" s="2" t="s">
        <v>5637</v>
      </c>
      <c r="J1221" s="2" t="s">
        <v>5638</v>
      </c>
      <c r="K1221" s="2" t="s">
        <v>58</v>
      </c>
      <c r="L1221" s="2" t="s">
        <v>613</v>
      </c>
      <c r="M1221" s="2" t="s">
        <v>544</v>
      </c>
      <c r="N1221" s="2" t="s">
        <v>5639</v>
      </c>
      <c r="O1221" s="2">
        <v>10</v>
      </c>
      <c r="P1221" s="2">
        <v>32</v>
      </c>
      <c r="Q1221" s="2" t="s">
        <v>46</v>
      </c>
      <c r="R1221" s="2" t="s">
        <v>47</v>
      </c>
      <c r="S1221" s="2">
        <v>0</v>
      </c>
      <c r="T1221" s="2">
        <v>0</v>
      </c>
      <c r="U1221" s="2">
        <v>0</v>
      </c>
      <c r="V1221" s="2">
        <v>0</v>
      </c>
      <c r="W1221" s="2">
        <v>2</v>
      </c>
      <c r="X1221" s="2" t="s">
        <v>104</v>
      </c>
      <c r="Y1221" s="2">
        <v>0</v>
      </c>
      <c r="Z1221" s="2">
        <v>2</v>
      </c>
      <c r="AA1221" s="2">
        <v>1</v>
      </c>
      <c r="AB1221" s="2">
        <v>1</v>
      </c>
      <c r="AC1221" s="2">
        <v>1</v>
      </c>
      <c r="AD1221" s="2">
        <v>1</v>
      </c>
      <c r="AE1221" s="2" t="s">
        <v>0</v>
      </c>
      <c r="AF1221" s="2">
        <v>2</v>
      </c>
      <c r="AG1221" s="2" t="s">
        <v>49</v>
      </c>
    </row>
    <row r="1222" spans="1:33" ht="89.25" x14ac:dyDescent="0.2">
      <c r="A1222" s="5" t="str">
        <f>HYPERLINK("http://www.patentics.cn/invokexml.do?sf=ShowPatent&amp;spn=US8774252&amp;sv=b9689b33ae647c39a0a8ad87bf6d04cc","US8774252")</f>
        <v>US8774252</v>
      </c>
      <c r="B1222" s="3" t="s">
        <v>5640</v>
      </c>
      <c r="C1222" s="3" t="s">
        <v>5641</v>
      </c>
      <c r="D1222" s="3" t="s">
        <v>52</v>
      </c>
      <c r="E1222" s="3" t="s">
        <v>52</v>
      </c>
      <c r="F1222" s="3" t="s">
        <v>5642</v>
      </c>
      <c r="G1222" s="3" t="s">
        <v>4299</v>
      </c>
      <c r="H1222" s="3" t="s">
        <v>2228</v>
      </c>
      <c r="I1222" s="3" t="s">
        <v>616</v>
      </c>
      <c r="J1222" s="3" t="s">
        <v>1662</v>
      </c>
      <c r="K1222" s="3" t="s">
        <v>84</v>
      </c>
      <c r="L1222" s="3" t="s">
        <v>310</v>
      </c>
      <c r="M1222" s="3" t="s">
        <v>84</v>
      </c>
      <c r="N1222" s="3" t="s">
        <v>5643</v>
      </c>
      <c r="O1222" s="3">
        <v>0</v>
      </c>
      <c r="P1222" s="3">
        <v>10</v>
      </c>
      <c r="Q1222" s="3" t="s">
        <v>60</v>
      </c>
      <c r="R1222" s="3" t="s">
        <v>61</v>
      </c>
      <c r="S1222" s="3">
        <v>9</v>
      </c>
      <c r="T1222" s="3">
        <v>1</v>
      </c>
      <c r="U1222" s="3">
        <v>8</v>
      </c>
      <c r="V1222" s="3">
        <v>6</v>
      </c>
      <c r="W1222" s="3">
        <v>0</v>
      </c>
      <c r="X1222" s="3" t="s">
        <v>147</v>
      </c>
      <c r="Y1222" s="3">
        <v>0</v>
      </c>
      <c r="Z1222" s="3">
        <v>0</v>
      </c>
      <c r="AA1222" s="3">
        <v>0</v>
      </c>
      <c r="AB1222" s="3">
        <v>0</v>
      </c>
      <c r="AC1222" s="3">
        <v>8</v>
      </c>
      <c r="AD1222" s="3">
        <v>6</v>
      </c>
      <c r="AE1222" s="3">
        <v>14</v>
      </c>
      <c r="AF1222" s="3" t="s">
        <v>0</v>
      </c>
      <c r="AG1222" s="3" t="s">
        <v>49</v>
      </c>
    </row>
    <row r="1223" spans="1:33" ht="89.25" x14ac:dyDescent="0.2">
      <c r="A1223" s="5" t="str">
        <f>HYPERLINK("http://www.patentics.cn/invokexml.do?sf=ShowPatent&amp;spn=US9130816&amp;sv=5c2a6d92c2bc6ad72b28f6af5747de5d","US9130816")</f>
        <v>US9130816</v>
      </c>
      <c r="B1223" s="3" t="s">
        <v>5644</v>
      </c>
      <c r="C1223" s="3" t="s">
        <v>5645</v>
      </c>
      <c r="D1223" s="3" t="s">
        <v>52</v>
      </c>
      <c r="E1223" s="3" t="s">
        <v>52</v>
      </c>
      <c r="F1223" s="3" t="s">
        <v>5642</v>
      </c>
      <c r="G1223" s="3" t="s">
        <v>4299</v>
      </c>
      <c r="H1223" s="3" t="s">
        <v>2228</v>
      </c>
      <c r="I1223" s="3" t="s">
        <v>5646</v>
      </c>
      <c r="J1223" s="3" t="s">
        <v>219</v>
      </c>
      <c r="K1223" s="3" t="s">
        <v>893</v>
      </c>
      <c r="L1223" s="3" t="s">
        <v>1344</v>
      </c>
      <c r="M1223" s="3" t="s">
        <v>0</v>
      </c>
      <c r="N1223" s="3" t="s">
        <v>0</v>
      </c>
      <c r="O1223" s="3">
        <v>0</v>
      </c>
      <c r="P1223" s="3">
        <v>12</v>
      </c>
      <c r="Q1223" s="3" t="s">
        <v>60</v>
      </c>
      <c r="R1223" s="3" t="s">
        <v>61</v>
      </c>
      <c r="S1223" s="3">
        <v>14</v>
      </c>
      <c r="T1223" s="3">
        <v>2</v>
      </c>
      <c r="U1223" s="3">
        <v>12</v>
      </c>
      <c r="V1223" s="3">
        <v>8</v>
      </c>
      <c r="W1223" s="3">
        <v>0</v>
      </c>
      <c r="X1223" s="3" t="s">
        <v>147</v>
      </c>
      <c r="Y1223" s="3">
        <v>0</v>
      </c>
      <c r="Z1223" s="3">
        <v>0</v>
      </c>
      <c r="AA1223" s="3">
        <v>0</v>
      </c>
      <c r="AB1223" s="3">
        <v>0</v>
      </c>
      <c r="AC1223" s="3">
        <v>8</v>
      </c>
      <c r="AD1223" s="3">
        <v>6</v>
      </c>
      <c r="AE1223" s="3">
        <v>14</v>
      </c>
      <c r="AF1223" s="3" t="s">
        <v>0</v>
      </c>
      <c r="AG1223" s="3" t="s">
        <v>49</v>
      </c>
    </row>
    <row r="1224" spans="1:33" ht="25.5" x14ac:dyDescent="0.2">
      <c r="A1224" s="4" t="str">
        <f>HYPERLINK("http://www.patentics.cn/invokexml.do?sf=ShowPatent&amp;spn=CN101141698&amp;sv=57d76ad87f846449ca329f3c3be63474","CN101141698")</f>
        <v>CN101141698</v>
      </c>
      <c r="B1224" s="2" t="s">
        <v>5647</v>
      </c>
      <c r="C1224" s="2" t="s">
        <v>5648</v>
      </c>
      <c r="D1224" s="2" t="s">
        <v>38</v>
      </c>
      <c r="E1224" s="2" t="s">
        <v>38</v>
      </c>
      <c r="F1224" s="2" t="s">
        <v>5649</v>
      </c>
      <c r="G1224" s="2" t="s">
        <v>5650</v>
      </c>
      <c r="H1224" s="2" t="s">
        <v>5651</v>
      </c>
      <c r="I1224" s="2" t="s">
        <v>5651</v>
      </c>
      <c r="J1224" s="2" t="s">
        <v>5652</v>
      </c>
      <c r="K1224" s="2" t="s">
        <v>43</v>
      </c>
      <c r="L1224" s="2" t="s">
        <v>1588</v>
      </c>
      <c r="M1224" s="2" t="s">
        <v>58</v>
      </c>
      <c r="N1224" s="2" t="s">
        <v>1832</v>
      </c>
      <c r="O1224" s="2">
        <v>18</v>
      </c>
      <c r="P1224" s="2">
        <v>18</v>
      </c>
      <c r="Q1224" s="2" t="s">
        <v>46</v>
      </c>
      <c r="R1224" s="2" t="s">
        <v>47</v>
      </c>
      <c r="S1224" s="2">
        <v>0</v>
      </c>
      <c r="T1224" s="2">
        <v>0</v>
      </c>
      <c r="U1224" s="2">
        <v>0</v>
      </c>
      <c r="V1224" s="2">
        <v>0</v>
      </c>
      <c r="W1224" s="2">
        <v>11</v>
      </c>
      <c r="X1224" s="2" t="s">
        <v>5653</v>
      </c>
      <c r="Y1224" s="2">
        <v>5</v>
      </c>
      <c r="Z1224" s="2">
        <v>6</v>
      </c>
      <c r="AA1224" s="2">
        <v>5</v>
      </c>
      <c r="AB1224" s="2">
        <v>2</v>
      </c>
      <c r="AC1224" s="2">
        <v>1</v>
      </c>
      <c r="AD1224" s="2">
        <v>1</v>
      </c>
      <c r="AE1224" s="2" t="s">
        <v>0</v>
      </c>
      <c r="AF1224" s="2">
        <v>2</v>
      </c>
      <c r="AG1224" s="2" t="s">
        <v>49</v>
      </c>
    </row>
    <row r="1225" spans="1:33" ht="89.25" x14ac:dyDescent="0.2">
      <c r="A1225" s="5" t="str">
        <f>HYPERLINK("http://www.patentics.cn/invokexml.do?sf=ShowPatent&amp;spn=WO2012000161&amp;sv=c5e5e125b76c77e598dd203b440209e4","WO2012000161")</f>
        <v>WO2012000161</v>
      </c>
      <c r="B1225" s="3" t="s">
        <v>5654</v>
      </c>
      <c r="C1225" s="3" t="s">
        <v>5655</v>
      </c>
      <c r="D1225" s="3" t="s">
        <v>5656</v>
      </c>
      <c r="E1225" s="3" t="s">
        <v>5657</v>
      </c>
      <c r="F1225" s="3" t="s">
        <v>5658</v>
      </c>
      <c r="G1225" s="3" t="s">
        <v>5659</v>
      </c>
      <c r="H1225" s="3" t="s">
        <v>1992</v>
      </c>
      <c r="I1225" s="3" t="s">
        <v>1992</v>
      </c>
      <c r="J1225" s="3" t="s">
        <v>4455</v>
      </c>
      <c r="K1225" s="3" t="s">
        <v>82</v>
      </c>
      <c r="L1225" s="3" t="s">
        <v>1749</v>
      </c>
      <c r="M1225" s="3" t="s">
        <v>0</v>
      </c>
      <c r="N1225" s="3" t="s">
        <v>0</v>
      </c>
      <c r="O1225" s="3">
        <v>68</v>
      </c>
      <c r="P1225" s="3">
        <v>14</v>
      </c>
      <c r="Q1225" s="3" t="s">
        <v>352</v>
      </c>
      <c r="R1225" s="3" t="s">
        <v>47</v>
      </c>
      <c r="S1225" s="3">
        <v>4</v>
      </c>
      <c r="T1225" s="3">
        <v>0</v>
      </c>
      <c r="U1225" s="3">
        <v>4</v>
      </c>
      <c r="V1225" s="3">
        <v>3</v>
      </c>
      <c r="W1225" s="3">
        <v>4</v>
      </c>
      <c r="X1225" s="3" t="s">
        <v>1171</v>
      </c>
      <c r="Y1225" s="3">
        <v>0</v>
      </c>
      <c r="Z1225" s="3">
        <v>4</v>
      </c>
      <c r="AA1225" s="3">
        <v>2</v>
      </c>
      <c r="AB1225" s="3">
        <v>2</v>
      </c>
      <c r="AC1225" s="3">
        <v>7</v>
      </c>
      <c r="AD1225" s="3">
        <v>7</v>
      </c>
      <c r="AE1225" s="3">
        <v>14</v>
      </c>
      <c r="AF1225" s="3" t="s">
        <v>0</v>
      </c>
      <c r="AG1225" s="3" t="s">
        <v>0</v>
      </c>
    </row>
    <row r="1226" spans="1:33" ht="51" x14ac:dyDescent="0.2">
      <c r="A1226" s="5" t="str">
        <f>HYPERLINK("http://www.patentics.cn/invokexml.do?sf=ShowPatent&amp;spn=CN102986259B&amp;sv=85f35e8f0d6a94563304028152dcd233","CN102986259B")</f>
        <v>CN102986259B</v>
      </c>
      <c r="B1226" s="3" t="s">
        <v>5660</v>
      </c>
      <c r="C1226" s="3" t="s">
        <v>5661</v>
      </c>
      <c r="D1226" s="3" t="s">
        <v>338</v>
      </c>
      <c r="E1226" s="3" t="s">
        <v>338</v>
      </c>
      <c r="F1226" s="3" t="s">
        <v>5662</v>
      </c>
      <c r="G1226" s="3" t="s">
        <v>5663</v>
      </c>
      <c r="H1226" s="3" t="s">
        <v>1992</v>
      </c>
      <c r="I1226" s="3" t="s">
        <v>1992</v>
      </c>
      <c r="J1226" s="3" t="s">
        <v>2882</v>
      </c>
      <c r="K1226" s="3" t="s">
        <v>82</v>
      </c>
      <c r="L1226" s="3" t="s">
        <v>1749</v>
      </c>
      <c r="M1226" s="3" t="s">
        <v>0</v>
      </c>
      <c r="N1226" s="3" t="s">
        <v>0</v>
      </c>
      <c r="O1226" s="3">
        <v>55</v>
      </c>
      <c r="P1226" s="3">
        <v>17</v>
      </c>
      <c r="Q1226" s="3" t="s">
        <v>60</v>
      </c>
      <c r="R1226" s="3" t="s">
        <v>47</v>
      </c>
      <c r="S1226" s="3">
        <v>2</v>
      </c>
      <c r="T1226" s="3">
        <v>0</v>
      </c>
      <c r="U1226" s="3">
        <v>2</v>
      </c>
      <c r="V1226" s="3">
        <v>2</v>
      </c>
      <c r="W1226" s="3">
        <v>0</v>
      </c>
      <c r="X1226" s="3" t="s">
        <v>147</v>
      </c>
      <c r="Y1226" s="3">
        <v>0</v>
      </c>
      <c r="Z1226" s="3">
        <v>0</v>
      </c>
      <c r="AA1226" s="3">
        <v>0</v>
      </c>
      <c r="AB1226" s="3">
        <v>0</v>
      </c>
      <c r="AC1226" s="3">
        <v>0</v>
      </c>
      <c r="AD1226" s="3">
        <v>0</v>
      </c>
      <c r="AE1226" s="3">
        <v>14</v>
      </c>
      <c r="AF1226" s="3" t="s">
        <v>0</v>
      </c>
      <c r="AG1226" s="3" t="s">
        <v>49</v>
      </c>
    </row>
    <row r="1227" spans="1:33" ht="25.5" x14ac:dyDescent="0.2">
      <c r="A1227" s="4" t="str">
        <f>HYPERLINK("http://www.patentics.cn/invokexml.do?sf=ShowPatent&amp;spn=CN101140797&amp;sv=a010ec1d0aca5f5de8183e4c18f1614d","CN101140797")</f>
        <v>CN101140797</v>
      </c>
      <c r="B1227" s="2" t="s">
        <v>5664</v>
      </c>
      <c r="C1227" s="2" t="s">
        <v>5665</v>
      </c>
      <c r="D1227" s="2" t="s">
        <v>38</v>
      </c>
      <c r="E1227" s="2" t="s">
        <v>38</v>
      </c>
      <c r="F1227" s="2" t="s">
        <v>5666</v>
      </c>
      <c r="G1227" s="2" t="s">
        <v>5666</v>
      </c>
      <c r="H1227" s="2" t="s">
        <v>1893</v>
      </c>
      <c r="I1227" s="2" t="s">
        <v>1893</v>
      </c>
      <c r="J1227" s="2" t="s">
        <v>5652</v>
      </c>
      <c r="K1227" s="2" t="s">
        <v>5667</v>
      </c>
      <c r="L1227" s="2" t="s">
        <v>5668</v>
      </c>
      <c r="M1227" s="2" t="s">
        <v>555</v>
      </c>
      <c r="N1227" s="2" t="s">
        <v>5669</v>
      </c>
      <c r="O1227" s="2">
        <v>8</v>
      </c>
      <c r="P1227" s="2">
        <v>9</v>
      </c>
      <c r="Q1227" s="2" t="s">
        <v>46</v>
      </c>
      <c r="R1227" s="2" t="s">
        <v>47</v>
      </c>
      <c r="S1227" s="2">
        <v>3</v>
      </c>
      <c r="T1227" s="2">
        <v>1</v>
      </c>
      <c r="U1227" s="2">
        <v>2</v>
      </c>
      <c r="V1227" s="2">
        <v>3</v>
      </c>
      <c r="W1227" s="2">
        <v>5</v>
      </c>
      <c r="X1227" s="2" t="s">
        <v>5670</v>
      </c>
      <c r="Y1227" s="2">
        <v>1</v>
      </c>
      <c r="Z1227" s="2">
        <v>4</v>
      </c>
      <c r="AA1227" s="2">
        <v>4</v>
      </c>
      <c r="AB1227" s="2">
        <v>2</v>
      </c>
      <c r="AC1227" s="2">
        <v>1</v>
      </c>
      <c r="AD1227" s="2">
        <v>1</v>
      </c>
      <c r="AE1227" s="2" t="s">
        <v>0</v>
      </c>
      <c r="AF1227" s="2">
        <v>2</v>
      </c>
      <c r="AG1227" s="2" t="s">
        <v>49</v>
      </c>
    </row>
    <row r="1228" spans="1:33" ht="102" x14ac:dyDescent="0.2">
      <c r="A1228" s="5" t="str">
        <f>HYPERLINK("http://www.patentics.cn/invokexml.do?sf=ShowPatent&amp;spn=US9268720&amp;sv=2d3c204d102f8009f7712f11b2d3109c","US9268720")</f>
        <v>US9268720</v>
      </c>
      <c r="B1228" s="3" t="s">
        <v>5671</v>
      </c>
      <c r="C1228" s="3" t="s">
        <v>5672</v>
      </c>
      <c r="D1228" s="3" t="s">
        <v>52</v>
      </c>
      <c r="E1228" s="3" t="s">
        <v>52</v>
      </c>
      <c r="F1228" s="3" t="s">
        <v>5673</v>
      </c>
      <c r="G1228" s="3" t="s">
        <v>5674</v>
      </c>
      <c r="H1228" s="3" t="s">
        <v>5675</v>
      </c>
      <c r="I1228" s="3" t="s">
        <v>5675</v>
      </c>
      <c r="J1228" s="3" t="s">
        <v>669</v>
      </c>
      <c r="K1228" s="3" t="s">
        <v>555</v>
      </c>
      <c r="L1228" s="3" t="s">
        <v>5676</v>
      </c>
      <c r="M1228" s="3" t="s">
        <v>555</v>
      </c>
      <c r="N1228" s="3" t="s">
        <v>5677</v>
      </c>
      <c r="O1228" s="3">
        <v>0</v>
      </c>
      <c r="P1228" s="3">
        <v>21</v>
      </c>
      <c r="Q1228" s="3" t="s">
        <v>60</v>
      </c>
      <c r="R1228" s="3" t="s">
        <v>61</v>
      </c>
      <c r="S1228" s="3">
        <v>29</v>
      </c>
      <c r="T1228" s="3">
        <v>1</v>
      </c>
      <c r="U1228" s="3">
        <v>28</v>
      </c>
      <c r="V1228" s="3">
        <v>20</v>
      </c>
      <c r="W1228" s="3">
        <v>0</v>
      </c>
      <c r="X1228" s="3" t="s">
        <v>147</v>
      </c>
      <c r="Y1228" s="3">
        <v>0</v>
      </c>
      <c r="Z1228" s="3">
        <v>0</v>
      </c>
      <c r="AA1228" s="3">
        <v>0</v>
      </c>
      <c r="AB1228" s="3">
        <v>0</v>
      </c>
      <c r="AC1228" s="3">
        <v>8</v>
      </c>
      <c r="AD1228" s="3">
        <v>5</v>
      </c>
      <c r="AE1228" s="3">
        <v>14</v>
      </c>
      <c r="AF1228" s="3" t="s">
        <v>0</v>
      </c>
      <c r="AG1228" s="3" t="s">
        <v>49</v>
      </c>
    </row>
    <row r="1229" spans="1:33" ht="51" x14ac:dyDescent="0.2">
      <c r="A1229" s="5" t="str">
        <f>HYPERLINK("http://www.patentics.cn/invokexml.do?sf=ShowPatent&amp;spn=CN103069402B&amp;sv=d1483a0561b1a3d4daed83bb7852670a","CN103069402B")</f>
        <v>CN103069402B</v>
      </c>
      <c r="B1229" s="3" t="s">
        <v>5678</v>
      </c>
      <c r="C1229" s="3" t="s">
        <v>5679</v>
      </c>
      <c r="D1229" s="3" t="s">
        <v>338</v>
      </c>
      <c r="E1229" s="3" t="s">
        <v>338</v>
      </c>
      <c r="F1229" s="3" t="s">
        <v>5680</v>
      </c>
      <c r="G1229" s="3" t="s">
        <v>5681</v>
      </c>
      <c r="H1229" s="3" t="s">
        <v>5675</v>
      </c>
      <c r="I1229" s="3" t="s">
        <v>658</v>
      </c>
      <c r="J1229" s="3" t="s">
        <v>5682</v>
      </c>
      <c r="K1229" s="3" t="s">
        <v>555</v>
      </c>
      <c r="L1229" s="3" t="s">
        <v>5676</v>
      </c>
      <c r="M1229" s="3" t="s">
        <v>0</v>
      </c>
      <c r="N1229" s="3" t="s">
        <v>0</v>
      </c>
      <c r="O1229" s="3">
        <v>26</v>
      </c>
      <c r="P1229" s="3">
        <v>26</v>
      </c>
      <c r="Q1229" s="3" t="s">
        <v>60</v>
      </c>
      <c r="R1229" s="3" t="s">
        <v>61</v>
      </c>
      <c r="S1229" s="3">
        <v>4</v>
      </c>
      <c r="T1229" s="3">
        <v>0</v>
      </c>
      <c r="U1229" s="3">
        <v>4</v>
      </c>
      <c r="V1229" s="3">
        <v>4</v>
      </c>
      <c r="W1229" s="3">
        <v>0</v>
      </c>
      <c r="X1229" s="3" t="s">
        <v>147</v>
      </c>
      <c r="Y1229" s="3">
        <v>0</v>
      </c>
      <c r="Z1229" s="3">
        <v>0</v>
      </c>
      <c r="AA1229" s="3">
        <v>0</v>
      </c>
      <c r="AB1229" s="3">
        <v>0</v>
      </c>
      <c r="AC1229" s="3">
        <v>0</v>
      </c>
      <c r="AD1229" s="3">
        <v>0</v>
      </c>
      <c r="AE1229" s="3">
        <v>14</v>
      </c>
      <c r="AF1229" s="3" t="s">
        <v>0</v>
      </c>
      <c r="AG1229" s="3" t="s">
        <v>49</v>
      </c>
    </row>
    <row r="1230" spans="1:33" ht="25.5" x14ac:dyDescent="0.2">
      <c r="A1230" s="4" t="str">
        <f>HYPERLINK("http://www.patentics.cn/invokexml.do?sf=ShowPatent&amp;spn=CN101136826&amp;sv=4268aca5a816e1f9f23c040d166daa93","CN101136826")</f>
        <v>CN101136826</v>
      </c>
      <c r="B1230" s="2" t="s">
        <v>5683</v>
      </c>
      <c r="C1230" s="2" t="s">
        <v>5684</v>
      </c>
      <c r="D1230" s="2" t="s">
        <v>38</v>
      </c>
      <c r="E1230" s="2" t="s">
        <v>38</v>
      </c>
      <c r="F1230" s="2" t="s">
        <v>5459</v>
      </c>
      <c r="G1230" s="2" t="s">
        <v>5459</v>
      </c>
      <c r="H1230" s="2" t="s">
        <v>5685</v>
      </c>
      <c r="I1230" s="2" t="s">
        <v>5685</v>
      </c>
      <c r="J1230" s="2" t="s">
        <v>2557</v>
      </c>
      <c r="K1230" s="2" t="s">
        <v>58</v>
      </c>
      <c r="L1230" s="2" t="s">
        <v>289</v>
      </c>
      <c r="M1230" s="2" t="s">
        <v>58</v>
      </c>
      <c r="N1230" s="2" t="s">
        <v>1785</v>
      </c>
      <c r="O1230" s="2">
        <v>5</v>
      </c>
      <c r="P1230" s="2">
        <v>21</v>
      </c>
      <c r="Q1230" s="2" t="s">
        <v>46</v>
      </c>
      <c r="R1230" s="2" t="s">
        <v>47</v>
      </c>
      <c r="S1230" s="2">
        <v>0</v>
      </c>
      <c r="T1230" s="2">
        <v>0</v>
      </c>
      <c r="U1230" s="2">
        <v>0</v>
      </c>
      <c r="V1230" s="2">
        <v>0</v>
      </c>
      <c r="W1230" s="2">
        <v>49</v>
      </c>
      <c r="X1230" s="2" t="s">
        <v>5686</v>
      </c>
      <c r="Y1230" s="2">
        <v>21</v>
      </c>
      <c r="Z1230" s="2">
        <v>28</v>
      </c>
      <c r="AA1230" s="2">
        <v>15</v>
      </c>
      <c r="AB1230" s="2">
        <v>4</v>
      </c>
      <c r="AC1230" s="2">
        <v>1</v>
      </c>
      <c r="AD1230" s="2">
        <v>1</v>
      </c>
      <c r="AE1230" s="2" t="s">
        <v>0</v>
      </c>
      <c r="AF1230" s="2">
        <v>2</v>
      </c>
      <c r="AG1230" s="2" t="s">
        <v>49</v>
      </c>
    </row>
    <row r="1231" spans="1:33" ht="76.5" x14ac:dyDescent="0.2">
      <c r="A1231" s="5" t="str">
        <f>HYPERLINK("http://www.patentics.cn/invokexml.do?sf=ShowPatent&amp;spn=US8731551&amp;sv=4e270e5593d6a50fe0385a2b9a854120","US8731551")</f>
        <v>US8731551</v>
      </c>
      <c r="B1231" s="3" t="s">
        <v>5462</v>
      </c>
      <c r="C1231" s="3" t="s">
        <v>5463</v>
      </c>
      <c r="D1231" s="3" t="s">
        <v>52</v>
      </c>
      <c r="E1231" s="3" t="s">
        <v>52</v>
      </c>
      <c r="F1231" s="3" t="s">
        <v>5464</v>
      </c>
      <c r="G1231" s="3" t="s">
        <v>3015</v>
      </c>
      <c r="H1231" s="3" t="s">
        <v>5465</v>
      </c>
      <c r="I1231" s="3" t="s">
        <v>3728</v>
      </c>
      <c r="J1231" s="3" t="s">
        <v>4687</v>
      </c>
      <c r="K1231" s="3" t="s">
        <v>82</v>
      </c>
      <c r="L1231" s="3" t="s">
        <v>83</v>
      </c>
      <c r="M1231" s="3" t="s">
        <v>58</v>
      </c>
      <c r="N1231" s="3" t="s">
        <v>5466</v>
      </c>
      <c r="O1231" s="3">
        <v>0</v>
      </c>
      <c r="P1231" s="3">
        <v>14</v>
      </c>
      <c r="Q1231" s="3" t="s">
        <v>60</v>
      </c>
      <c r="R1231" s="3" t="s">
        <v>61</v>
      </c>
      <c r="S1231" s="3">
        <v>54</v>
      </c>
      <c r="T1231" s="3">
        <v>7</v>
      </c>
      <c r="U1231" s="3">
        <v>47</v>
      </c>
      <c r="V1231" s="3">
        <v>16</v>
      </c>
      <c r="W1231" s="3">
        <v>8</v>
      </c>
      <c r="X1231" s="3" t="s">
        <v>378</v>
      </c>
      <c r="Y1231" s="3">
        <v>1</v>
      </c>
      <c r="Z1231" s="3">
        <v>7</v>
      </c>
      <c r="AA1231" s="3">
        <v>2</v>
      </c>
      <c r="AB1231" s="3">
        <v>2</v>
      </c>
      <c r="AC1231" s="3">
        <v>20</v>
      </c>
      <c r="AD1231" s="3">
        <v>7</v>
      </c>
      <c r="AE1231" s="3">
        <v>14</v>
      </c>
      <c r="AF1231" s="3" t="s">
        <v>0</v>
      </c>
      <c r="AG1231" s="3" t="s">
        <v>49</v>
      </c>
    </row>
    <row r="1232" spans="1:33" ht="153" x14ac:dyDescent="0.2">
      <c r="A1232" s="5" t="str">
        <f>HYPERLINK("http://www.patentics.cn/invokexml.do?sf=ShowPatent&amp;spn=US9510272&amp;sv=6c782b721c584e5a999b3c0385ff6133","US9510272")</f>
        <v>US9510272</v>
      </c>
      <c r="B1232" s="3" t="s">
        <v>5687</v>
      </c>
      <c r="C1232" s="3" t="s">
        <v>5688</v>
      </c>
      <c r="D1232" s="3" t="s">
        <v>52</v>
      </c>
      <c r="E1232" s="3" t="s">
        <v>52</v>
      </c>
      <c r="F1232" s="3" t="s">
        <v>5689</v>
      </c>
      <c r="G1232" s="3" t="s">
        <v>5690</v>
      </c>
      <c r="H1232" s="3" t="s">
        <v>5691</v>
      </c>
      <c r="I1232" s="3" t="s">
        <v>3487</v>
      </c>
      <c r="J1232" s="3" t="s">
        <v>5692</v>
      </c>
      <c r="K1232" s="3" t="s">
        <v>82</v>
      </c>
      <c r="L1232" s="3" t="s">
        <v>83</v>
      </c>
      <c r="M1232" s="3" t="s">
        <v>82</v>
      </c>
      <c r="N1232" s="3" t="s">
        <v>807</v>
      </c>
      <c r="O1232" s="3">
        <v>0</v>
      </c>
      <c r="P1232" s="3">
        <v>15</v>
      </c>
      <c r="Q1232" s="3" t="s">
        <v>60</v>
      </c>
      <c r="R1232" s="3" t="s">
        <v>61</v>
      </c>
      <c r="S1232" s="3">
        <v>35</v>
      </c>
      <c r="T1232" s="3">
        <v>7</v>
      </c>
      <c r="U1232" s="3">
        <v>28</v>
      </c>
      <c r="V1232" s="3">
        <v>19</v>
      </c>
      <c r="W1232" s="3">
        <v>0</v>
      </c>
      <c r="X1232" s="3" t="s">
        <v>147</v>
      </c>
      <c r="Y1232" s="3">
        <v>0</v>
      </c>
      <c r="Z1232" s="3">
        <v>0</v>
      </c>
      <c r="AA1232" s="3">
        <v>0</v>
      </c>
      <c r="AB1232" s="3">
        <v>0</v>
      </c>
      <c r="AC1232" s="3">
        <v>32</v>
      </c>
      <c r="AD1232" s="3">
        <v>15</v>
      </c>
      <c r="AE1232" s="3">
        <v>14</v>
      </c>
      <c r="AF1232" s="3" t="s">
        <v>0</v>
      </c>
      <c r="AG1232" s="3" t="s">
        <v>49</v>
      </c>
    </row>
    <row r="1233" spans="1:33" ht="38.25" x14ac:dyDescent="0.2">
      <c r="A1233" s="4" t="str">
        <f>HYPERLINK("http://www.patentics.cn/invokexml.do?sf=ShowPatent&amp;spn=CN101137098&amp;sv=6cdf1a1c8cc0185c5703599195e8451c","CN101137098")</f>
        <v>CN101137098</v>
      </c>
      <c r="B1233" s="2" t="s">
        <v>5693</v>
      </c>
      <c r="C1233" s="2" t="s">
        <v>5694</v>
      </c>
      <c r="D1233" s="2" t="s">
        <v>38</v>
      </c>
      <c r="E1233" s="2" t="s">
        <v>38</v>
      </c>
      <c r="F1233" s="2" t="s">
        <v>5695</v>
      </c>
      <c r="G1233" s="2" t="s">
        <v>5696</v>
      </c>
      <c r="H1233" s="2" t="s">
        <v>0</v>
      </c>
      <c r="I1233" s="2" t="s">
        <v>5697</v>
      </c>
      <c r="J1233" s="2" t="s">
        <v>2557</v>
      </c>
      <c r="K1233" s="2" t="s">
        <v>43</v>
      </c>
      <c r="L1233" s="2" t="s">
        <v>1588</v>
      </c>
      <c r="M1233" s="2" t="s">
        <v>58</v>
      </c>
      <c r="N1233" s="2" t="s">
        <v>1785</v>
      </c>
      <c r="O1233" s="2">
        <v>11</v>
      </c>
      <c r="P1233" s="2">
        <v>9</v>
      </c>
      <c r="Q1233" s="2" t="s">
        <v>46</v>
      </c>
      <c r="R1233" s="2" t="s">
        <v>47</v>
      </c>
      <c r="S1233" s="2">
        <v>0</v>
      </c>
      <c r="T1233" s="2">
        <v>0</v>
      </c>
      <c r="U1233" s="2">
        <v>0</v>
      </c>
      <c r="V1233" s="2">
        <v>0</v>
      </c>
      <c r="W1233" s="2">
        <v>8</v>
      </c>
      <c r="X1233" s="2" t="s">
        <v>5698</v>
      </c>
      <c r="Y1233" s="2">
        <v>3</v>
      </c>
      <c r="Z1233" s="2">
        <v>5</v>
      </c>
      <c r="AA1233" s="2">
        <v>4</v>
      </c>
      <c r="AB1233" s="2">
        <v>3</v>
      </c>
      <c r="AC1233" s="2">
        <v>0</v>
      </c>
      <c r="AD1233" s="2">
        <v>0</v>
      </c>
      <c r="AE1233" s="2" t="s">
        <v>0</v>
      </c>
      <c r="AF1233" s="2">
        <v>2</v>
      </c>
      <c r="AG1233" s="2" t="s">
        <v>547</v>
      </c>
    </row>
    <row r="1234" spans="1:33" ht="89.25" x14ac:dyDescent="0.2">
      <c r="A1234" s="5" t="str">
        <f>HYPERLINK("http://www.patentics.cn/invokexml.do?sf=ShowPatent&amp;spn=US9036564&amp;sv=3653f376253497ecdee2e942ef246b76","US9036564")</f>
        <v>US9036564</v>
      </c>
      <c r="B1234" s="3" t="s">
        <v>5699</v>
      </c>
      <c r="C1234" s="3" t="s">
        <v>5700</v>
      </c>
      <c r="D1234" s="3" t="s">
        <v>52</v>
      </c>
      <c r="E1234" s="3" t="s">
        <v>52</v>
      </c>
      <c r="F1234" s="3" t="s">
        <v>5701</v>
      </c>
      <c r="G1234" s="3" t="s">
        <v>454</v>
      </c>
      <c r="H1234" s="3" t="s">
        <v>5702</v>
      </c>
      <c r="I1234" s="3" t="s">
        <v>5703</v>
      </c>
      <c r="J1234" s="3" t="s">
        <v>207</v>
      </c>
      <c r="K1234" s="3" t="s">
        <v>82</v>
      </c>
      <c r="L1234" s="3" t="s">
        <v>83</v>
      </c>
      <c r="M1234" s="3" t="s">
        <v>0</v>
      </c>
      <c r="N1234" s="3" t="s">
        <v>0</v>
      </c>
      <c r="O1234" s="3">
        <v>0</v>
      </c>
      <c r="P1234" s="3">
        <v>16</v>
      </c>
      <c r="Q1234" s="3" t="s">
        <v>60</v>
      </c>
      <c r="R1234" s="3" t="s">
        <v>61</v>
      </c>
      <c r="S1234" s="3">
        <v>10</v>
      </c>
      <c r="T1234" s="3">
        <v>1</v>
      </c>
      <c r="U1234" s="3">
        <v>9</v>
      </c>
      <c r="V1234" s="3">
        <v>6</v>
      </c>
      <c r="W1234" s="3">
        <v>8</v>
      </c>
      <c r="X1234" s="3" t="s">
        <v>147</v>
      </c>
      <c r="Y1234" s="3">
        <v>0</v>
      </c>
      <c r="Z1234" s="3">
        <v>8</v>
      </c>
      <c r="AA1234" s="3">
        <v>0</v>
      </c>
      <c r="AB1234" s="3">
        <v>1</v>
      </c>
      <c r="AC1234" s="3">
        <v>28</v>
      </c>
      <c r="AD1234" s="3">
        <v>16</v>
      </c>
      <c r="AE1234" s="3">
        <v>14</v>
      </c>
      <c r="AF1234" s="3" t="s">
        <v>0</v>
      </c>
      <c r="AG1234" s="3" t="s">
        <v>49</v>
      </c>
    </row>
    <row r="1235" spans="1:33" ht="89.25" x14ac:dyDescent="0.2">
      <c r="A1235" s="5" t="str">
        <f>HYPERLINK("http://www.patentics.cn/invokexml.do?sf=ShowPatent&amp;spn=US9439212&amp;sv=40cdcd737286e53144378a70b81afb59","US9439212")</f>
        <v>US9439212</v>
      </c>
      <c r="B1235" s="3" t="s">
        <v>5704</v>
      </c>
      <c r="C1235" s="3" t="s">
        <v>5700</v>
      </c>
      <c r="D1235" s="3" t="s">
        <v>52</v>
      </c>
      <c r="E1235" s="3" t="s">
        <v>52</v>
      </c>
      <c r="F1235" s="3" t="s">
        <v>5705</v>
      </c>
      <c r="G1235" s="3" t="s">
        <v>454</v>
      </c>
      <c r="H1235" s="3" t="s">
        <v>0</v>
      </c>
      <c r="I1235" s="3" t="s">
        <v>5706</v>
      </c>
      <c r="J1235" s="3" t="s">
        <v>5707</v>
      </c>
      <c r="K1235" s="3" t="s">
        <v>82</v>
      </c>
      <c r="L1235" s="3" t="s">
        <v>997</v>
      </c>
      <c r="M1235" s="3" t="s">
        <v>82</v>
      </c>
      <c r="N1235" s="3" t="s">
        <v>966</v>
      </c>
      <c r="O1235" s="3">
        <v>0</v>
      </c>
      <c r="P1235" s="3">
        <v>24</v>
      </c>
      <c r="Q1235" s="3" t="s">
        <v>60</v>
      </c>
      <c r="R1235" s="3" t="s">
        <v>61</v>
      </c>
      <c r="S1235" s="3">
        <v>16</v>
      </c>
      <c r="T1235" s="3">
        <v>4</v>
      </c>
      <c r="U1235" s="3">
        <v>12</v>
      </c>
      <c r="V1235" s="3">
        <v>7</v>
      </c>
      <c r="W1235" s="3">
        <v>0</v>
      </c>
      <c r="X1235" s="3" t="s">
        <v>147</v>
      </c>
      <c r="Y1235" s="3">
        <v>0</v>
      </c>
      <c r="Z1235" s="3">
        <v>0</v>
      </c>
      <c r="AA1235" s="3">
        <v>0</v>
      </c>
      <c r="AB1235" s="3">
        <v>0</v>
      </c>
      <c r="AC1235" s="3">
        <v>0</v>
      </c>
      <c r="AD1235" s="3">
        <v>0</v>
      </c>
      <c r="AE1235" s="3">
        <v>14</v>
      </c>
      <c r="AF1235" s="3" t="s">
        <v>0</v>
      </c>
      <c r="AG1235" s="3" t="s">
        <v>49</v>
      </c>
    </row>
    <row r="1236" spans="1:33" ht="25.5" x14ac:dyDescent="0.2">
      <c r="A1236" s="4" t="str">
        <f>HYPERLINK("http://www.patentics.cn/invokexml.do?sf=ShowPatent&amp;spn=CN101136805&amp;sv=235a2fe298ade983981ba03b92ac7009","CN101136805")</f>
        <v>CN101136805</v>
      </c>
      <c r="B1236" s="2" t="s">
        <v>5708</v>
      </c>
      <c r="C1236" s="2" t="s">
        <v>5709</v>
      </c>
      <c r="D1236" s="2" t="s">
        <v>38</v>
      </c>
      <c r="E1236" s="2" t="s">
        <v>38</v>
      </c>
      <c r="F1236" s="2" t="s">
        <v>5710</v>
      </c>
      <c r="G1236" s="2" t="s">
        <v>5710</v>
      </c>
      <c r="H1236" s="2" t="s">
        <v>5711</v>
      </c>
      <c r="I1236" s="2" t="s">
        <v>5711</v>
      </c>
      <c r="J1236" s="2" t="s">
        <v>2557</v>
      </c>
      <c r="K1236" s="2" t="s">
        <v>58</v>
      </c>
      <c r="L1236" s="2" t="s">
        <v>763</v>
      </c>
      <c r="M1236" s="2" t="s">
        <v>5712</v>
      </c>
      <c r="N1236" s="2" t="s">
        <v>5713</v>
      </c>
      <c r="O1236" s="2">
        <v>10</v>
      </c>
      <c r="P1236" s="2">
        <v>10</v>
      </c>
      <c r="Q1236" s="2" t="s">
        <v>46</v>
      </c>
      <c r="R1236" s="2" t="s">
        <v>47</v>
      </c>
      <c r="S1236" s="2">
        <v>1</v>
      </c>
      <c r="T1236" s="2">
        <v>0</v>
      </c>
      <c r="U1236" s="2">
        <v>1</v>
      </c>
      <c r="V1236" s="2">
        <v>1</v>
      </c>
      <c r="W1236" s="2">
        <v>9</v>
      </c>
      <c r="X1236" s="2" t="s">
        <v>5714</v>
      </c>
      <c r="Y1236" s="2">
        <v>2</v>
      </c>
      <c r="Z1236" s="2">
        <v>7</v>
      </c>
      <c r="AA1236" s="2">
        <v>5</v>
      </c>
      <c r="AB1236" s="2">
        <v>3</v>
      </c>
      <c r="AC1236" s="2">
        <v>1</v>
      </c>
      <c r="AD1236" s="2">
        <v>1</v>
      </c>
      <c r="AE1236" s="2" t="s">
        <v>0</v>
      </c>
      <c r="AF1236" s="2">
        <v>2</v>
      </c>
      <c r="AG1236" s="2" t="s">
        <v>49</v>
      </c>
    </row>
    <row r="1237" spans="1:33" ht="140.25" x14ac:dyDescent="0.2">
      <c r="A1237" s="5" t="str">
        <f>HYPERLINK("http://www.patentics.cn/invokexml.do?sf=ShowPatent&amp;spn=US8966055&amp;sv=20981836b47735a264a96e9a8aeb55c9","US8966055")</f>
        <v>US8966055</v>
      </c>
      <c r="B1237" s="3" t="s">
        <v>5715</v>
      </c>
      <c r="C1237" s="3" t="s">
        <v>5716</v>
      </c>
      <c r="D1237" s="3" t="s">
        <v>52</v>
      </c>
      <c r="E1237" s="3" t="s">
        <v>52</v>
      </c>
      <c r="F1237" s="3" t="s">
        <v>5717</v>
      </c>
      <c r="G1237" s="3" t="s">
        <v>5718</v>
      </c>
      <c r="H1237" s="3" t="s">
        <v>5719</v>
      </c>
      <c r="I1237" s="3" t="s">
        <v>1397</v>
      </c>
      <c r="J1237" s="3" t="s">
        <v>805</v>
      </c>
      <c r="K1237" s="3" t="s">
        <v>555</v>
      </c>
      <c r="L1237" s="3" t="s">
        <v>1553</v>
      </c>
      <c r="M1237" s="3" t="s">
        <v>58</v>
      </c>
      <c r="N1237" s="3" t="s">
        <v>5720</v>
      </c>
      <c r="O1237" s="3">
        <v>0</v>
      </c>
      <c r="P1237" s="3">
        <v>21</v>
      </c>
      <c r="Q1237" s="3" t="s">
        <v>60</v>
      </c>
      <c r="R1237" s="3" t="s">
        <v>61</v>
      </c>
      <c r="S1237" s="3">
        <v>20</v>
      </c>
      <c r="T1237" s="3">
        <v>1</v>
      </c>
      <c r="U1237" s="3">
        <v>19</v>
      </c>
      <c r="V1237" s="3">
        <v>15</v>
      </c>
      <c r="W1237" s="3">
        <v>2</v>
      </c>
      <c r="X1237" s="3" t="s">
        <v>147</v>
      </c>
      <c r="Y1237" s="3">
        <v>0</v>
      </c>
      <c r="Z1237" s="3">
        <v>2</v>
      </c>
      <c r="AA1237" s="3">
        <v>1</v>
      </c>
      <c r="AB1237" s="3">
        <v>1</v>
      </c>
      <c r="AC1237" s="3">
        <v>10</v>
      </c>
      <c r="AD1237" s="3">
        <v>7</v>
      </c>
      <c r="AE1237" s="3">
        <v>14</v>
      </c>
      <c r="AF1237" s="3" t="s">
        <v>0</v>
      </c>
      <c r="AG1237" s="3" t="s">
        <v>49</v>
      </c>
    </row>
    <row r="1238" spans="1:33" ht="63.75" x14ac:dyDescent="0.2">
      <c r="A1238" s="5" t="str">
        <f>HYPERLINK("http://www.patentics.cn/invokexml.do?sf=ShowPatent&amp;spn=CN102217233B&amp;sv=c18b2fa9c4c6174ead6d42c4b3d0d7a3","CN102217233B")</f>
        <v>CN102217233B</v>
      </c>
      <c r="B1238" s="3" t="s">
        <v>5721</v>
      </c>
      <c r="C1238" s="3" t="s">
        <v>5722</v>
      </c>
      <c r="D1238" s="3" t="s">
        <v>338</v>
      </c>
      <c r="E1238" s="3" t="s">
        <v>338</v>
      </c>
      <c r="F1238" s="3" t="s">
        <v>5723</v>
      </c>
      <c r="G1238" s="3" t="s">
        <v>5724</v>
      </c>
      <c r="H1238" s="3" t="s">
        <v>5719</v>
      </c>
      <c r="I1238" s="3" t="s">
        <v>5725</v>
      </c>
      <c r="J1238" s="3" t="s">
        <v>3897</v>
      </c>
      <c r="K1238" s="3" t="s">
        <v>58</v>
      </c>
      <c r="L1238" s="3" t="s">
        <v>763</v>
      </c>
      <c r="M1238" s="3" t="s">
        <v>0</v>
      </c>
      <c r="N1238" s="3" t="s">
        <v>0</v>
      </c>
      <c r="O1238" s="3">
        <v>28</v>
      </c>
      <c r="P1238" s="3">
        <v>15</v>
      </c>
      <c r="Q1238" s="3" t="s">
        <v>60</v>
      </c>
      <c r="R1238" s="3" t="s">
        <v>61</v>
      </c>
      <c r="S1238" s="3">
        <v>3</v>
      </c>
      <c r="T1238" s="3">
        <v>0</v>
      </c>
      <c r="U1238" s="3">
        <v>3</v>
      </c>
      <c r="V1238" s="3">
        <v>3</v>
      </c>
      <c r="W1238" s="3">
        <v>0</v>
      </c>
      <c r="X1238" s="3" t="s">
        <v>147</v>
      </c>
      <c r="Y1238" s="3">
        <v>0</v>
      </c>
      <c r="Z1238" s="3">
        <v>0</v>
      </c>
      <c r="AA1238" s="3">
        <v>0</v>
      </c>
      <c r="AB1238" s="3">
        <v>0</v>
      </c>
      <c r="AC1238" s="3">
        <v>10</v>
      </c>
      <c r="AD1238" s="3">
        <v>7</v>
      </c>
      <c r="AE1238" s="3">
        <v>14</v>
      </c>
      <c r="AF1238" s="3" t="s">
        <v>0</v>
      </c>
      <c r="AG1238" s="3" t="s">
        <v>49</v>
      </c>
    </row>
    <row r="1239" spans="1:33" ht="38.25" x14ac:dyDescent="0.2">
      <c r="A1239" s="4" t="str">
        <f>HYPERLINK("http://www.patentics.cn/invokexml.do?sf=ShowPatent&amp;spn=CN101137217&amp;sv=5e2e5b6a46762ee27085335775c60484","CN101137217")</f>
        <v>CN101137217</v>
      </c>
      <c r="B1239" s="2" t="s">
        <v>5726</v>
      </c>
      <c r="C1239" s="2" t="s">
        <v>5727</v>
      </c>
      <c r="D1239" s="2" t="s">
        <v>38</v>
      </c>
      <c r="E1239" s="2" t="s">
        <v>38</v>
      </c>
      <c r="F1239" s="2" t="s">
        <v>5728</v>
      </c>
      <c r="G1239" s="2" t="s">
        <v>5729</v>
      </c>
      <c r="H1239" s="2" t="s">
        <v>1656</v>
      </c>
      <c r="I1239" s="2" t="s">
        <v>1656</v>
      </c>
      <c r="J1239" s="2" t="s">
        <v>2557</v>
      </c>
      <c r="K1239" s="2" t="s">
        <v>43</v>
      </c>
      <c r="L1239" s="2" t="s">
        <v>2591</v>
      </c>
      <c r="M1239" s="2" t="s">
        <v>43</v>
      </c>
      <c r="N1239" s="2" t="s">
        <v>45</v>
      </c>
      <c r="O1239" s="2">
        <v>5</v>
      </c>
      <c r="P1239" s="2">
        <v>31</v>
      </c>
      <c r="Q1239" s="2" t="s">
        <v>46</v>
      </c>
      <c r="R1239" s="2" t="s">
        <v>47</v>
      </c>
      <c r="S1239" s="2">
        <v>2</v>
      </c>
      <c r="T1239" s="2">
        <v>1</v>
      </c>
      <c r="U1239" s="2">
        <v>1</v>
      </c>
      <c r="V1239" s="2">
        <v>2</v>
      </c>
      <c r="W1239" s="2">
        <v>4</v>
      </c>
      <c r="X1239" s="2" t="s">
        <v>5730</v>
      </c>
      <c r="Y1239" s="2">
        <v>1</v>
      </c>
      <c r="Z1239" s="2">
        <v>3</v>
      </c>
      <c r="AA1239" s="2">
        <v>3</v>
      </c>
      <c r="AB1239" s="2">
        <v>3</v>
      </c>
      <c r="AC1239" s="2">
        <v>1</v>
      </c>
      <c r="AD1239" s="2">
        <v>1</v>
      </c>
      <c r="AE1239" s="2" t="s">
        <v>0</v>
      </c>
      <c r="AF1239" s="2">
        <v>2</v>
      </c>
      <c r="AG1239" s="2" t="s">
        <v>49</v>
      </c>
    </row>
    <row r="1240" spans="1:33" ht="89.25" x14ac:dyDescent="0.2">
      <c r="A1240" s="5" t="str">
        <f>HYPERLINK("http://www.patentics.cn/invokexml.do?sf=ShowPatent&amp;spn=US8824314&amp;sv=338780805250d12edbbb3817b529492c","US8824314")</f>
        <v>US8824314</v>
      </c>
      <c r="B1240" s="3" t="s">
        <v>5731</v>
      </c>
      <c r="C1240" s="3" t="s">
        <v>5732</v>
      </c>
      <c r="D1240" s="3" t="s">
        <v>52</v>
      </c>
      <c r="E1240" s="3" t="s">
        <v>52</v>
      </c>
      <c r="F1240" s="3" t="s">
        <v>5733</v>
      </c>
      <c r="G1240" s="3" t="s">
        <v>5734</v>
      </c>
      <c r="H1240" s="3" t="s">
        <v>5735</v>
      </c>
      <c r="I1240" s="3" t="s">
        <v>5736</v>
      </c>
      <c r="J1240" s="3" t="s">
        <v>5336</v>
      </c>
      <c r="K1240" s="3" t="s">
        <v>58</v>
      </c>
      <c r="L1240" s="3" t="s">
        <v>763</v>
      </c>
      <c r="M1240" s="3" t="s">
        <v>82</v>
      </c>
      <c r="N1240" s="3" t="s">
        <v>3997</v>
      </c>
      <c r="O1240" s="3">
        <v>0</v>
      </c>
      <c r="P1240" s="3">
        <v>22</v>
      </c>
      <c r="Q1240" s="3" t="s">
        <v>60</v>
      </c>
      <c r="R1240" s="3" t="s">
        <v>61</v>
      </c>
      <c r="S1240" s="3">
        <v>19</v>
      </c>
      <c r="T1240" s="3">
        <v>8</v>
      </c>
      <c r="U1240" s="3">
        <v>11</v>
      </c>
      <c r="V1240" s="3">
        <v>8</v>
      </c>
      <c r="W1240" s="3">
        <v>1</v>
      </c>
      <c r="X1240" s="3" t="s">
        <v>403</v>
      </c>
      <c r="Y1240" s="3">
        <v>0</v>
      </c>
      <c r="Z1240" s="3">
        <v>1</v>
      </c>
      <c r="AA1240" s="3">
        <v>1</v>
      </c>
      <c r="AB1240" s="3">
        <v>1</v>
      </c>
      <c r="AC1240" s="3">
        <v>9</v>
      </c>
      <c r="AD1240" s="3">
        <v>6</v>
      </c>
      <c r="AE1240" s="3">
        <v>14</v>
      </c>
      <c r="AF1240" s="3" t="s">
        <v>0</v>
      </c>
      <c r="AG1240" s="3" t="s">
        <v>49</v>
      </c>
    </row>
    <row r="1241" spans="1:33" ht="63.75" x14ac:dyDescent="0.2">
      <c r="A1241" s="5" t="str">
        <f>HYPERLINK("http://www.patentics.cn/invokexml.do?sf=ShowPatent&amp;spn=CN102440055B&amp;sv=1a5e07ae501f00e47718c9a0b204f6b8","CN102440055B")</f>
        <v>CN102440055B</v>
      </c>
      <c r="B1241" s="3" t="s">
        <v>5737</v>
      </c>
      <c r="C1241" s="3" t="s">
        <v>5738</v>
      </c>
      <c r="D1241" s="3" t="s">
        <v>338</v>
      </c>
      <c r="E1241" s="3" t="s">
        <v>338</v>
      </c>
      <c r="F1241" s="3" t="s">
        <v>5739</v>
      </c>
      <c r="G1241" s="3" t="s">
        <v>5740</v>
      </c>
      <c r="H1241" s="3" t="s">
        <v>5735</v>
      </c>
      <c r="I1241" s="3" t="s">
        <v>5741</v>
      </c>
      <c r="J1241" s="3" t="s">
        <v>2516</v>
      </c>
      <c r="K1241" s="3" t="s">
        <v>82</v>
      </c>
      <c r="L1241" s="3" t="s">
        <v>997</v>
      </c>
      <c r="M1241" s="3" t="s">
        <v>0</v>
      </c>
      <c r="N1241" s="3" t="s">
        <v>0</v>
      </c>
      <c r="O1241" s="3">
        <v>36</v>
      </c>
      <c r="P1241" s="3">
        <v>22</v>
      </c>
      <c r="Q1241" s="3" t="s">
        <v>60</v>
      </c>
      <c r="R1241" s="3" t="s">
        <v>61</v>
      </c>
      <c r="S1241" s="3">
        <v>5</v>
      </c>
      <c r="T1241" s="3">
        <v>3</v>
      </c>
      <c r="U1241" s="3">
        <v>2</v>
      </c>
      <c r="V1241" s="3">
        <v>3</v>
      </c>
      <c r="W1241" s="3">
        <v>0</v>
      </c>
      <c r="X1241" s="3" t="s">
        <v>147</v>
      </c>
      <c r="Y1241" s="3">
        <v>0</v>
      </c>
      <c r="Z1241" s="3">
        <v>0</v>
      </c>
      <c r="AA1241" s="3">
        <v>0</v>
      </c>
      <c r="AB1241" s="3">
        <v>0</v>
      </c>
      <c r="AC1241" s="3">
        <v>0</v>
      </c>
      <c r="AD1241" s="3">
        <v>0</v>
      </c>
      <c r="AE1241" s="3">
        <v>14</v>
      </c>
      <c r="AF1241" s="3" t="s">
        <v>0</v>
      </c>
      <c r="AG1241" s="3" t="s">
        <v>49</v>
      </c>
    </row>
    <row r="1242" spans="1:33" x14ac:dyDescent="0.2">
      <c r="A1242" s="4" t="str">
        <f>HYPERLINK("http://www.patentics.cn/invokexml.do?sf=ShowPatent&amp;spn=CN101132190&amp;sv=3950070b878f1030a2735bd772f14e7c","CN101132190")</f>
        <v>CN101132190</v>
      </c>
      <c r="B1242" s="2" t="s">
        <v>5742</v>
      </c>
      <c r="C1242" s="2" t="s">
        <v>5743</v>
      </c>
      <c r="D1242" s="2" t="s">
        <v>38</v>
      </c>
      <c r="E1242" s="2" t="s">
        <v>38</v>
      </c>
      <c r="F1242" s="2" t="s">
        <v>5744</v>
      </c>
      <c r="G1242" s="2" t="s">
        <v>5744</v>
      </c>
      <c r="H1242" s="2" t="s">
        <v>5697</v>
      </c>
      <c r="I1242" s="2" t="s">
        <v>5697</v>
      </c>
      <c r="J1242" s="2" t="s">
        <v>3903</v>
      </c>
      <c r="K1242" s="2" t="s">
        <v>84</v>
      </c>
      <c r="L1242" s="2" t="s">
        <v>1300</v>
      </c>
      <c r="M1242" s="2" t="s">
        <v>43</v>
      </c>
      <c r="N1242" s="2" t="s">
        <v>45</v>
      </c>
      <c r="O1242" s="2">
        <v>10</v>
      </c>
      <c r="P1242" s="2">
        <v>11</v>
      </c>
      <c r="Q1242" s="2" t="s">
        <v>46</v>
      </c>
      <c r="R1242" s="2" t="s">
        <v>47</v>
      </c>
      <c r="S1242" s="2">
        <v>0</v>
      </c>
      <c r="T1242" s="2">
        <v>0</v>
      </c>
      <c r="U1242" s="2">
        <v>0</v>
      </c>
      <c r="V1242" s="2">
        <v>0</v>
      </c>
      <c r="W1242" s="2">
        <v>7</v>
      </c>
      <c r="X1242" s="2" t="s">
        <v>1398</v>
      </c>
      <c r="Y1242" s="2">
        <v>1</v>
      </c>
      <c r="Z1242" s="2">
        <v>6</v>
      </c>
      <c r="AA1242" s="2">
        <v>5</v>
      </c>
      <c r="AB1242" s="2">
        <v>2</v>
      </c>
      <c r="AC1242" s="2">
        <v>1</v>
      </c>
      <c r="AD1242" s="2">
        <v>1</v>
      </c>
      <c r="AE1242" s="2" t="s">
        <v>0</v>
      </c>
      <c r="AF1242" s="2">
        <v>2</v>
      </c>
      <c r="AG1242" s="2" t="s">
        <v>49</v>
      </c>
    </row>
    <row r="1243" spans="1:33" ht="51" x14ac:dyDescent="0.2">
      <c r="A1243" s="5" t="str">
        <f>HYPERLINK("http://www.patentics.cn/invokexml.do?sf=ShowPatent&amp;spn=US9210586&amp;sv=8d19ae46f0472f754bfbb13082909194","US9210586")</f>
        <v>US9210586</v>
      </c>
      <c r="B1243" s="3" t="s">
        <v>5745</v>
      </c>
      <c r="C1243" s="3" t="s">
        <v>5746</v>
      </c>
      <c r="D1243" s="3" t="s">
        <v>52</v>
      </c>
      <c r="E1243" s="3" t="s">
        <v>52</v>
      </c>
      <c r="F1243" s="3" t="s">
        <v>5747</v>
      </c>
      <c r="G1243" s="3" t="s">
        <v>5748</v>
      </c>
      <c r="H1243" s="3" t="s">
        <v>5429</v>
      </c>
      <c r="I1243" s="3" t="s">
        <v>2934</v>
      </c>
      <c r="J1243" s="3" t="s">
        <v>283</v>
      </c>
      <c r="K1243" s="3" t="s">
        <v>82</v>
      </c>
      <c r="L1243" s="3" t="s">
        <v>2082</v>
      </c>
      <c r="M1243" s="3" t="s">
        <v>82</v>
      </c>
      <c r="N1243" s="3" t="s">
        <v>958</v>
      </c>
      <c r="O1243" s="3">
        <v>0</v>
      </c>
      <c r="P1243" s="3">
        <v>0</v>
      </c>
      <c r="Q1243" s="3" t="s">
        <v>60</v>
      </c>
      <c r="R1243" s="3" t="s">
        <v>61</v>
      </c>
      <c r="S1243" s="3">
        <v>26</v>
      </c>
      <c r="T1243" s="3">
        <v>3</v>
      </c>
      <c r="U1243" s="3">
        <v>23</v>
      </c>
      <c r="V1243" s="3">
        <v>14</v>
      </c>
      <c r="W1243" s="3">
        <v>0</v>
      </c>
      <c r="X1243" s="3" t="s">
        <v>147</v>
      </c>
      <c r="Y1243" s="3">
        <v>0</v>
      </c>
      <c r="Z1243" s="3">
        <v>0</v>
      </c>
      <c r="AA1243" s="3">
        <v>0</v>
      </c>
      <c r="AB1243" s="3">
        <v>0</v>
      </c>
      <c r="AC1243" s="3">
        <v>10</v>
      </c>
      <c r="AD1243" s="3">
        <v>7</v>
      </c>
      <c r="AE1243" s="3">
        <v>14</v>
      </c>
      <c r="AF1243" s="3" t="s">
        <v>0</v>
      </c>
      <c r="AG1243" s="3" t="s">
        <v>49</v>
      </c>
    </row>
    <row r="1244" spans="1:33" ht="89.25" x14ac:dyDescent="0.2">
      <c r="A1244" s="5" t="str">
        <f>HYPERLINK("http://www.patentics.cn/invokexml.do?sf=ShowPatent&amp;spn=US9332510&amp;sv=2588a6aafa72a45a140c1afa55e9999f","US9332510")</f>
        <v>US9332510</v>
      </c>
      <c r="B1244" s="3" t="s">
        <v>5749</v>
      </c>
      <c r="C1244" s="3" t="s">
        <v>5750</v>
      </c>
      <c r="D1244" s="3" t="s">
        <v>52</v>
      </c>
      <c r="E1244" s="3" t="s">
        <v>52</v>
      </c>
      <c r="F1244" s="3" t="s">
        <v>5751</v>
      </c>
      <c r="G1244" s="3" t="s">
        <v>454</v>
      </c>
      <c r="H1244" s="3" t="s">
        <v>4998</v>
      </c>
      <c r="I1244" s="3" t="s">
        <v>4998</v>
      </c>
      <c r="J1244" s="3" t="s">
        <v>3217</v>
      </c>
      <c r="K1244" s="3" t="s">
        <v>84</v>
      </c>
      <c r="L1244" s="3" t="s">
        <v>310</v>
      </c>
      <c r="M1244" s="3" t="s">
        <v>82</v>
      </c>
      <c r="N1244" s="3" t="s">
        <v>5752</v>
      </c>
      <c r="O1244" s="3">
        <v>0</v>
      </c>
      <c r="P1244" s="3">
        <v>15</v>
      </c>
      <c r="Q1244" s="3" t="s">
        <v>60</v>
      </c>
      <c r="R1244" s="3" t="s">
        <v>61</v>
      </c>
      <c r="S1244" s="3">
        <v>32</v>
      </c>
      <c r="T1244" s="3">
        <v>10</v>
      </c>
      <c r="U1244" s="3">
        <v>22</v>
      </c>
      <c r="V1244" s="3">
        <v>14</v>
      </c>
      <c r="W1244" s="3">
        <v>0</v>
      </c>
      <c r="X1244" s="3" t="s">
        <v>147</v>
      </c>
      <c r="Y1244" s="3">
        <v>0</v>
      </c>
      <c r="Z1244" s="3">
        <v>0</v>
      </c>
      <c r="AA1244" s="3">
        <v>0</v>
      </c>
      <c r="AB1244" s="3">
        <v>0</v>
      </c>
      <c r="AC1244" s="3">
        <v>8</v>
      </c>
      <c r="AD1244" s="3">
        <v>6</v>
      </c>
      <c r="AE1244" s="3">
        <v>14</v>
      </c>
      <c r="AF1244" s="3" t="s">
        <v>0</v>
      </c>
      <c r="AG1244" s="3" t="s">
        <v>49</v>
      </c>
    </row>
    <row r="1245" spans="1:33" x14ac:dyDescent="0.2">
      <c r="A1245" s="4" t="str">
        <f>HYPERLINK("http://www.patentics.cn/invokexml.do?sf=ShowPatent&amp;spn=CN101132643&amp;sv=3cb67e2ba0323413fb2351396c7100c2","CN101132643")</f>
        <v>CN101132643</v>
      </c>
      <c r="B1245" s="2" t="s">
        <v>5753</v>
      </c>
      <c r="C1245" s="2" t="s">
        <v>5754</v>
      </c>
      <c r="D1245" s="2" t="s">
        <v>38</v>
      </c>
      <c r="E1245" s="2" t="s">
        <v>38</v>
      </c>
      <c r="F1245" s="2" t="s">
        <v>5744</v>
      </c>
      <c r="G1245" s="2" t="s">
        <v>5744</v>
      </c>
      <c r="H1245" s="2" t="s">
        <v>5697</v>
      </c>
      <c r="I1245" s="2" t="s">
        <v>5697</v>
      </c>
      <c r="J1245" s="2" t="s">
        <v>3903</v>
      </c>
      <c r="K1245" s="2" t="s">
        <v>43</v>
      </c>
      <c r="L1245" s="2" t="s">
        <v>2591</v>
      </c>
      <c r="M1245" s="2" t="s">
        <v>43</v>
      </c>
      <c r="N1245" s="2" t="s">
        <v>45</v>
      </c>
      <c r="O1245" s="2">
        <v>9</v>
      </c>
      <c r="P1245" s="2">
        <v>8</v>
      </c>
      <c r="Q1245" s="2" t="s">
        <v>46</v>
      </c>
      <c r="R1245" s="2" t="s">
        <v>47</v>
      </c>
      <c r="S1245" s="2">
        <v>0</v>
      </c>
      <c r="T1245" s="2">
        <v>0</v>
      </c>
      <c r="U1245" s="2">
        <v>0</v>
      </c>
      <c r="V1245" s="2">
        <v>0</v>
      </c>
      <c r="W1245" s="2">
        <v>7</v>
      </c>
      <c r="X1245" s="2" t="s">
        <v>5755</v>
      </c>
      <c r="Y1245" s="2">
        <v>0</v>
      </c>
      <c r="Z1245" s="2">
        <v>7</v>
      </c>
      <c r="AA1245" s="2">
        <v>4</v>
      </c>
      <c r="AB1245" s="2">
        <v>3</v>
      </c>
      <c r="AC1245" s="2">
        <v>1</v>
      </c>
      <c r="AD1245" s="2">
        <v>1</v>
      </c>
      <c r="AE1245" s="2" t="s">
        <v>0</v>
      </c>
      <c r="AF1245" s="2">
        <v>2</v>
      </c>
      <c r="AG1245" s="2" t="s">
        <v>49</v>
      </c>
    </row>
    <row r="1246" spans="1:33" ht="25.5" x14ac:dyDescent="0.2">
      <c r="A1246" s="5" t="str">
        <f>HYPERLINK("http://www.patentics.cn/invokexml.do?sf=ShowPatent&amp;spn=US9148893&amp;sv=c05dda2e73f7f996a9032b6db75870c4","US9148893")</f>
        <v>US9148893</v>
      </c>
      <c r="B1246" s="3" t="s">
        <v>5756</v>
      </c>
      <c r="C1246" s="3" t="s">
        <v>5757</v>
      </c>
      <c r="D1246" s="3" t="s">
        <v>52</v>
      </c>
      <c r="E1246" s="3" t="s">
        <v>52</v>
      </c>
      <c r="F1246" s="3" t="s">
        <v>5758</v>
      </c>
      <c r="G1246" s="3" t="s">
        <v>5758</v>
      </c>
      <c r="H1246" s="3" t="s">
        <v>1790</v>
      </c>
      <c r="I1246" s="3" t="s">
        <v>5759</v>
      </c>
      <c r="J1246" s="3" t="s">
        <v>248</v>
      </c>
      <c r="K1246" s="3" t="s">
        <v>1020</v>
      </c>
      <c r="L1246" s="3" t="s">
        <v>1021</v>
      </c>
      <c r="M1246" s="3" t="s">
        <v>82</v>
      </c>
      <c r="N1246" s="3" t="s">
        <v>1058</v>
      </c>
      <c r="O1246" s="3">
        <v>0</v>
      </c>
      <c r="P1246" s="3">
        <v>8</v>
      </c>
      <c r="Q1246" s="3" t="s">
        <v>60</v>
      </c>
      <c r="R1246" s="3" t="s">
        <v>61</v>
      </c>
      <c r="S1246" s="3">
        <v>31</v>
      </c>
      <c r="T1246" s="3">
        <v>5</v>
      </c>
      <c r="U1246" s="3">
        <v>26</v>
      </c>
      <c r="V1246" s="3">
        <v>16</v>
      </c>
      <c r="W1246" s="3">
        <v>0</v>
      </c>
      <c r="X1246" s="3" t="s">
        <v>147</v>
      </c>
      <c r="Y1246" s="3">
        <v>0</v>
      </c>
      <c r="Z1246" s="3">
        <v>0</v>
      </c>
      <c r="AA1246" s="3">
        <v>0</v>
      </c>
      <c r="AB1246" s="3">
        <v>0</v>
      </c>
      <c r="AC1246" s="3">
        <v>15</v>
      </c>
      <c r="AD1246" s="3">
        <v>9</v>
      </c>
      <c r="AE1246" s="3">
        <v>14</v>
      </c>
      <c r="AF1246" s="3" t="s">
        <v>0</v>
      </c>
      <c r="AG1246" s="3" t="s">
        <v>49</v>
      </c>
    </row>
    <row r="1247" spans="1:33" ht="51" x14ac:dyDescent="0.2">
      <c r="A1247" s="5" t="str">
        <f>HYPERLINK("http://www.patentics.cn/invokexml.do?sf=ShowPatent&amp;spn=US9210586&amp;sv=8d19ae46f0472f754bfbb13082909194","US9210586")</f>
        <v>US9210586</v>
      </c>
      <c r="B1247" s="3" t="s">
        <v>5745</v>
      </c>
      <c r="C1247" s="3" t="s">
        <v>5746</v>
      </c>
      <c r="D1247" s="3" t="s">
        <v>52</v>
      </c>
      <c r="E1247" s="3" t="s">
        <v>52</v>
      </c>
      <c r="F1247" s="3" t="s">
        <v>5747</v>
      </c>
      <c r="G1247" s="3" t="s">
        <v>5748</v>
      </c>
      <c r="H1247" s="3" t="s">
        <v>5429</v>
      </c>
      <c r="I1247" s="3" t="s">
        <v>2934</v>
      </c>
      <c r="J1247" s="3" t="s">
        <v>283</v>
      </c>
      <c r="K1247" s="3" t="s">
        <v>82</v>
      </c>
      <c r="L1247" s="3" t="s">
        <v>2082</v>
      </c>
      <c r="M1247" s="3" t="s">
        <v>82</v>
      </c>
      <c r="N1247" s="3" t="s">
        <v>958</v>
      </c>
      <c r="O1247" s="3">
        <v>0</v>
      </c>
      <c r="P1247" s="3">
        <v>0</v>
      </c>
      <c r="Q1247" s="3" t="s">
        <v>60</v>
      </c>
      <c r="R1247" s="3" t="s">
        <v>61</v>
      </c>
      <c r="S1247" s="3">
        <v>26</v>
      </c>
      <c r="T1247" s="3">
        <v>3</v>
      </c>
      <c r="U1247" s="3">
        <v>23</v>
      </c>
      <c r="V1247" s="3">
        <v>14</v>
      </c>
      <c r="W1247" s="3">
        <v>0</v>
      </c>
      <c r="X1247" s="3" t="s">
        <v>147</v>
      </c>
      <c r="Y1247" s="3">
        <v>0</v>
      </c>
      <c r="Z1247" s="3">
        <v>0</v>
      </c>
      <c r="AA1247" s="3">
        <v>0</v>
      </c>
      <c r="AB1247" s="3">
        <v>0</v>
      </c>
      <c r="AC1247" s="3">
        <v>10</v>
      </c>
      <c r="AD1247" s="3">
        <v>7</v>
      </c>
      <c r="AE1247" s="3">
        <v>14</v>
      </c>
      <c r="AF1247" s="3" t="s">
        <v>0</v>
      </c>
      <c r="AG1247" s="3" t="s">
        <v>49</v>
      </c>
    </row>
    <row r="1248" spans="1:33" ht="25.5" x14ac:dyDescent="0.2">
      <c r="A1248" s="4" t="str">
        <f>HYPERLINK("http://www.patentics.cn/invokexml.do?sf=ShowPatent&amp;spn=CN101106394&amp;sv=81a2d3c937ed5a0e29c228b4845aab6a","CN101106394")</f>
        <v>CN101106394</v>
      </c>
      <c r="B1248" s="2" t="s">
        <v>5760</v>
      </c>
      <c r="C1248" s="2" t="s">
        <v>5761</v>
      </c>
      <c r="D1248" s="2" t="s">
        <v>38</v>
      </c>
      <c r="E1248" s="2" t="s">
        <v>38</v>
      </c>
      <c r="F1248" s="2" t="s">
        <v>5762</v>
      </c>
      <c r="G1248" s="2" t="s">
        <v>5762</v>
      </c>
      <c r="H1248" s="2" t="s">
        <v>5763</v>
      </c>
      <c r="I1248" s="2" t="s">
        <v>5763</v>
      </c>
      <c r="J1248" s="2" t="s">
        <v>5764</v>
      </c>
      <c r="K1248" s="2" t="s">
        <v>84</v>
      </c>
      <c r="L1248" s="2" t="s">
        <v>1300</v>
      </c>
      <c r="M1248" s="2" t="s">
        <v>84</v>
      </c>
      <c r="N1248" s="2" t="s">
        <v>2604</v>
      </c>
      <c r="O1248" s="2">
        <v>9</v>
      </c>
      <c r="P1248" s="2">
        <v>18</v>
      </c>
      <c r="Q1248" s="2" t="s">
        <v>46</v>
      </c>
      <c r="R1248" s="2" t="s">
        <v>47</v>
      </c>
      <c r="S1248" s="2">
        <v>3</v>
      </c>
      <c r="T1248" s="2">
        <v>0</v>
      </c>
      <c r="U1248" s="2">
        <v>3</v>
      </c>
      <c r="V1248" s="2">
        <v>2</v>
      </c>
      <c r="W1248" s="2">
        <v>4</v>
      </c>
      <c r="X1248" s="2" t="s">
        <v>1982</v>
      </c>
      <c r="Y1248" s="2">
        <v>2</v>
      </c>
      <c r="Z1248" s="2">
        <v>2</v>
      </c>
      <c r="AA1248" s="2">
        <v>2</v>
      </c>
      <c r="AB1248" s="2">
        <v>3</v>
      </c>
      <c r="AC1248" s="2">
        <v>1</v>
      </c>
      <c r="AD1248" s="2">
        <v>1</v>
      </c>
      <c r="AE1248" s="2" t="s">
        <v>0</v>
      </c>
      <c r="AF1248" s="2">
        <v>2</v>
      </c>
      <c r="AG1248" s="2" t="s">
        <v>49</v>
      </c>
    </row>
    <row r="1249" spans="1:33" ht="114.75" x14ac:dyDescent="0.2">
      <c r="A1249" s="5" t="str">
        <f>HYPERLINK("http://www.patentics.cn/invokexml.do?sf=ShowPatent&amp;spn=US9215648&amp;sv=1a612a265d82f13b1deb7ad532f29580","US9215648")</f>
        <v>US9215648</v>
      </c>
      <c r="B1249" s="3" t="s">
        <v>5765</v>
      </c>
      <c r="C1249" s="3" t="s">
        <v>5766</v>
      </c>
      <c r="D1249" s="3" t="s">
        <v>52</v>
      </c>
      <c r="E1249" s="3" t="s">
        <v>52</v>
      </c>
      <c r="F1249" s="3" t="s">
        <v>5767</v>
      </c>
      <c r="G1249" s="3" t="s">
        <v>181</v>
      </c>
      <c r="H1249" s="3" t="s">
        <v>5180</v>
      </c>
      <c r="I1249" s="3" t="s">
        <v>5180</v>
      </c>
      <c r="J1249" s="3" t="s">
        <v>2568</v>
      </c>
      <c r="K1249" s="3" t="s">
        <v>82</v>
      </c>
      <c r="L1249" s="3" t="s">
        <v>3335</v>
      </c>
      <c r="M1249" s="3" t="s">
        <v>82</v>
      </c>
      <c r="N1249" s="3" t="s">
        <v>807</v>
      </c>
      <c r="O1249" s="3">
        <v>0</v>
      </c>
      <c r="P1249" s="3">
        <v>10</v>
      </c>
      <c r="Q1249" s="3" t="s">
        <v>60</v>
      </c>
      <c r="R1249" s="3" t="s">
        <v>47</v>
      </c>
      <c r="S1249" s="3">
        <v>14</v>
      </c>
      <c r="T1249" s="3">
        <v>4</v>
      </c>
      <c r="U1249" s="3">
        <v>10</v>
      </c>
      <c r="V1249" s="3">
        <v>9</v>
      </c>
      <c r="W1249" s="3">
        <v>0</v>
      </c>
      <c r="X1249" s="3" t="s">
        <v>147</v>
      </c>
      <c r="Y1249" s="3">
        <v>0</v>
      </c>
      <c r="Z1249" s="3">
        <v>0</v>
      </c>
      <c r="AA1249" s="3">
        <v>0</v>
      </c>
      <c r="AB1249" s="3">
        <v>0</v>
      </c>
      <c r="AC1249" s="3">
        <v>2</v>
      </c>
      <c r="AD1249" s="3">
        <v>2</v>
      </c>
      <c r="AE1249" s="3">
        <v>14</v>
      </c>
      <c r="AF1249" s="3" t="s">
        <v>0</v>
      </c>
      <c r="AG1249" s="3" t="s">
        <v>49</v>
      </c>
    </row>
    <row r="1250" spans="1:33" ht="102" x14ac:dyDescent="0.2">
      <c r="A1250" s="5" t="str">
        <f>HYPERLINK("http://www.patentics.cn/invokexml.do?sf=ShowPatent&amp;spn=WO2012171215&amp;sv=e1b1a3f57d0a8ea07abf6ad02a408947","WO2012171215")</f>
        <v>WO2012171215</v>
      </c>
      <c r="B1250" s="3" t="s">
        <v>5768</v>
      </c>
      <c r="C1250" s="3" t="s">
        <v>5766</v>
      </c>
      <c r="D1250" s="3" t="s">
        <v>5769</v>
      </c>
      <c r="E1250" s="3" t="s">
        <v>5770</v>
      </c>
      <c r="F1250" s="3" t="s">
        <v>5771</v>
      </c>
      <c r="G1250" s="3" t="s">
        <v>2964</v>
      </c>
      <c r="H1250" s="3" t="s">
        <v>5180</v>
      </c>
      <c r="I1250" s="3" t="s">
        <v>5180</v>
      </c>
      <c r="J1250" s="3" t="s">
        <v>3677</v>
      </c>
      <c r="K1250" s="3" t="s">
        <v>84</v>
      </c>
      <c r="L1250" s="3" t="s">
        <v>1300</v>
      </c>
      <c r="M1250" s="3" t="s">
        <v>0</v>
      </c>
      <c r="N1250" s="3" t="s">
        <v>0</v>
      </c>
      <c r="O1250" s="3">
        <v>21</v>
      </c>
      <c r="P1250" s="3">
        <v>8</v>
      </c>
      <c r="Q1250" s="3" t="s">
        <v>352</v>
      </c>
      <c r="R1250" s="3" t="s">
        <v>47</v>
      </c>
      <c r="S1250" s="3">
        <v>4</v>
      </c>
      <c r="T1250" s="3">
        <v>1</v>
      </c>
      <c r="U1250" s="3">
        <v>3</v>
      </c>
      <c r="V1250" s="3">
        <v>4</v>
      </c>
      <c r="W1250" s="3">
        <v>1</v>
      </c>
      <c r="X1250" s="3" t="s">
        <v>1206</v>
      </c>
      <c r="Y1250" s="3">
        <v>1</v>
      </c>
      <c r="Z1250" s="3">
        <v>0</v>
      </c>
      <c r="AA1250" s="3">
        <v>1</v>
      </c>
      <c r="AB1250" s="3">
        <v>1</v>
      </c>
      <c r="AC1250" s="3">
        <v>2</v>
      </c>
      <c r="AD1250" s="3">
        <v>2</v>
      </c>
      <c r="AE1250" s="3">
        <v>14</v>
      </c>
      <c r="AF1250" s="3" t="s">
        <v>0</v>
      </c>
      <c r="AG1250" s="3" t="s">
        <v>0</v>
      </c>
    </row>
    <row r="1251" spans="1:33" ht="25.5" x14ac:dyDescent="0.2">
      <c r="A1251" s="4" t="str">
        <f>HYPERLINK("http://www.patentics.cn/invokexml.do?sf=ShowPatent&amp;spn=CN101102124&amp;sv=25caf0b4f7b43473c0d124ccee5a0cab","CN101102124")</f>
        <v>CN101102124</v>
      </c>
      <c r="B1251" s="2" t="s">
        <v>5772</v>
      </c>
      <c r="C1251" s="2" t="s">
        <v>5773</v>
      </c>
      <c r="D1251" s="2" t="s">
        <v>38</v>
      </c>
      <c r="E1251" s="2" t="s">
        <v>38</v>
      </c>
      <c r="F1251" s="2" t="s">
        <v>5774</v>
      </c>
      <c r="G1251" s="2" t="s">
        <v>5774</v>
      </c>
      <c r="H1251" s="2" t="s">
        <v>5775</v>
      </c>
      <c r="I1251" s="2" t="s">
        <v>5775</v>
      </c>
      <c r="J1251" s="2" t="s">
        <v>3481</v>
      </c>
      <c r="K1251" s="2" t="s">
        <v>84</v>
      </c>
      <c r="L1251" s="2" t="s">
        <v>1300</v>
      </c>
      <c r="M1251" s="2" t="s">
        <v>84</v>
      </c>
      <c r="N1251" s="2" t="s">
        <v>2604</v>
      </c>
      <c r="O1251" s="2">
        <v>10</v>
      </c>
      <c r="P1251" s="2">
        <v>28</v>
      </c>
      <c r="Q1251" s="2" t="s">
        <v>46</v>
      </c>
      <c r="R1251" s="2" t="s">
        <v>47</v>
      </c>
      <c r="S1251" s="2">
        <v>0</v>
      </c>
      <c r="T1251" s="2">
        <v>0</v>
      </c>
      <c r="U1251" s="2">
        <v>0</v>
      </c>
      <c r="V1251" s="2">
        <v>0</v>
      </c>
      <c r="W1251" s="2">
        <v>3</v>
      </c>
      <c r="X1251" s="2" t="s">
        <v>412</v>
      </c>
      <c r="Y1251" s="2">
        <v>0</v>
      </c>
      <c r="Z1251" s="2">
        <v>3</v>
      </c>
      <c r="AA1251" s="2">
        <v>2</v>
      </c>
      <c r="AB1251" s="2">
        <v>2</v>
      </c>
      <c r="AC1251" s="2">
        <v>1</v>
      </c>
      <c r="AD1251" s="2">
        <v>1</v>
      </c>
      <c r="AE1251" s="2" t="s">
        <v>0</v>
      </c>
      <c r="AF1251" s="2">
        <v>2</v>
      </c>
      <c r="AG1251" s="2" t="s">
        <v>49</v>
      </c>
    </row>
    <row r="1252" spans="1:33" ht="89.25" x14ac:dyDescent="0.2">
      <c r="A1252" s="5" t="str">
        <f>HYPERLINK("http://www.patentics.cn/invokexml.do?sf=ShowPatent&amp;spn=US8699529&amp;sv=c4864487aa48842c06c1822e2d55d3a0","US8699529")</f>
        <v>US8699529</v>
      </c>
      <c r="B1252" s="3" t="s">
        <v>5776</v>
      </c>
      <c r="C1252" s="3" t="s">
        <v>5777</v>
      </c>
      <c r="D1252" s="3" t="s">
        <v>52</v>
      </c>
      <c r="E1252" s="3" t="s">
        <v>52</v>
      </c>
      <c r="F1252" s="3" t="s">
        <v>5778</v>
      </c>
      <c r="G1252" s="3" t="s">
        <v>4299</v>
      </c>
      <c r="H1252" s="3" t="s">
        <v>5702</v>
      </c>
      <c r="I1252" s="3" t="s">
        <v>5779</v>
      </c>
      <c r="J1252" s="3" t="s">
        <v>1894</v>
      </c>
      <c r="K1252" s="3" t="s">
        <v>70</v>
      </c>
      <c r="L1252" s="3" t="s">
        <v>5780</v>
      </c>
      <c r="M1252" s="3" t="s">
        <v>84</v>
      </c>
      <c r="N1252" s="3" t="s">
        <v>5781</v>
      </c>
      <c r="O1252" s="3">
        <v>0</v>
      </c>
      <c r="P1252" s="3">
        <v>10</v>
      </c>
      <c r="Q1252" s="3" t="s">
        <v>60</v>
      </c>
      <c r="R1252" s="3" t="s">
        <v>61</v>
      </c>
      <c r="S1252" s="3">
        <v>26</v>
      </c>
      <c r="T1252" s="3">
        <v>3</v>
      </c>
      <c r="U1252" s="3">
        <v>23</v>
      </c>
      <c r="V1252" s="3">
        <v>18</v>
      </c>
      <c r="W1252" s="3">
        <v>0</v>
      </c>
      <c r="X1252" s="3" t="s">
        <v>147</v>
      </c>
      <c r="Y1252" s="3">
        <v>0</v>
      </c>
      <c r="Z1252" s="3">
        <v>0</v>
      </c>
      <c r="AA1252" s="3">
        <v>0</v>
      </c>
      <c r="AB1252" s="3">
        <v>0</v>
      </c>
      <c r="AC1252" s="3">
        <v>11</v>
      </c>
      <c r="AD1252" s="3">
        <v>7</v>
      </c>
      <c r="AE1252" s="3">
        <v>14</v>
      </c>
      <c r="AF1252" s="3" t="s">
        <v>0</v>
      </c>
      <c r="AG1252" s="3" t="s">
        <v>49</v>
      </c>
    </row>
    <row r="1253" spans="1:33" ht="51" x14ac:dyDescent="0.2">
      <c r="A1253" s="5" t="str">
        <f>HYPERLINK("http://www.patentics.cn/invokexml.do?sf=ShowPatent&amp;spn=CN101981879B&amp;sv=2dcaa883e4828527912fa25a6e97dd7f","CN101981879B")</f>
        <v>CN101981879B</v>
      </c>
      <c r="B1253" s="3" t="s">
        <v>5782</v>
      </c>
      <c r="C1253" s="3" t="s">
        <v>5783</v>
      </c>
      <c r="D1253" s="3" t="s">
        <v>338</v>
      </c>
      <c r="E1253" s="3" t="s">
        <v>338</v>
      </c>
      <c r="F1253" s="3" t="s">
        <v>5784</v>
      </c>
      <c r="G1253" s="3" t="s">
        <v>3083</v>
      </c>
      <c r="H1253" s="3" t="s">
        <v>5702</v>
      </c>
      <c r="I1253" s="3" t="s">
        <v>1114</v>
      </c>
      <c r="J1253" s="3" t="s">
        <v>2971</v>
      </c>
      <c r="K1253" s="3" t="s">
        <v>58</v>
      </c>
      <c r="L1253" s="3" t="s">
        <v>4713</v>
      </c>
      <c r="M1253" s="3" t="s">
        <v>0</v>
      </c>
      <c r="N1253" s="3" t="s">
        <v>0</v>
      </c>
      <c r="O1253" s="3">
        <v>11</v>
      </c>
      <c r="P1253" s="3">
        <v>13</v>
      </c>
      <c r="Q1253" s="3" t="s">
        <v>60</v>
      </c>
      <c r="R1253" s="3" t="s">
        <v>61</v>
      </c>
      <c r="S1253" s="3">
        <v>3</v>
      </c>
      <c r="T1253" s="3">
        <v>1</v>
      </c>
      <c r="U1253" s="3">
        <v>2</v>
      </c>
      <c r="V1253" s="3">
        <v>3</v>
      </c>
      <c r="W1253" s="3">
        <v>0</v>
      </c>
      <c r="X1253" s="3" t="s">
        <v>147</v>
      </c>
      <c r="Y1253" s="3">
        <v>0</v>
      </c>
      <c r="Z1253" s="3">
        <v>0</v>
      </c>
      <c r="AA1253" s="3">
        <v>0</v>
      </c>
      <c r="AB1253" s="3">
        <v>0</v>
      </c>
      <c r="AC1253" s="3">
        <v>11</v>
      </c>
      <c r="AD1253" s="3">
        <v>7</v>
      </c>
      <c r="AE1253" s="3">
        <v>14</v>
      </c>
      <c r="AF1253" s="3" t="s">
        <v>0</v>
      </c>
      <c r="AG1253" s="3" t="s">
        <v>49</v>
      </c>
    </row>
    <row r="1254" spans="1:33" ht="38.25" x14ac:dyDescent="0.2">
      <c r="A1254" s="4" t="str">
        <f>HYPERLINK("http://www.patentics.cn/invokexml.do?sf=ShowPatent&amp;spn=CN101094458&amp;sv=8baf21f52345eb076aca47c5b04f8305","CN101094458")</f>
        <v>CN101094458</v>
      </c>
      <c r="B1254" s="2" t="s">
        <v>5785</v>
      </c>
      <c r="C1254" s="2" t="s">
        <v>5786</v>
      </c>
      <c r="D1254" s="2" t="s">
        <v>38</v>
      </c>
      <c r="E1254" s="2" t="s">
        <v>38</v>
      </c>
      <c r="F1254" s="2" t="s">
        <v>5787</v>
      </c>
      <c r="G1254" s="2" t="s">
        <v>5788</v>
      </c>
      <c r="H1254" s="2" t="s">
        <v>4729</v>
      </c>
      <c r="I1254" s="2" t="s">
        <v>4729</v>
      </c>
      <c r="J1254" s="2" t="s">
        <v>3920</v>
      </c>
      <c r="K1254" s="2" t="s">
        <v>43</v>
      </c>
      <c r="L1254" s="2" t="s">
        <v>4012</v>
      </c>
      <c r="M1254" s="2" t="s">
        <v>58</v>
      </c>
      <c r="N1254" s="2" t="s">
        <v>1785</v>
      </c>
      <c r="O1254" s="2">
        <v>15</v>
      </c>
      <c r="P1254" s="2">
        <v>12</v>
      </c>
      <c r="Q1254" s="2" t="s">
        <v>46</v>
      </c>
      <c r="R1254" s="2" t="s">
        <v>47</v>
      </c>
      <c r="S1254" s="2">
        <v>0</v>
      </c>
      <c r="T1254" s="2">
        <v>0</v>
      </c>
      <c r="U1254" s="2">
        <v>0</v>
      </c>
      <c r="V1254" s="2">
        <v>0</v>
      </c>
      <c r="W1254" s="2">
        <v>3</v>
      </c>
      <c r="X1254" s="2" t="s">
        <v>5789</v>
      </c>
      <c r="Y1254" s="2">
        <v>1</v>
      </c>
      <c r="Z1254" s="2">
        <v>2</v>
      </c>
      <c r="AA1254" s="2">
        <v>2</v>
      </c>
      <c r="AB1254" s="2">
        <v>2</v>
      </c>
      <c r="AC1254" s="2">
        <v>1</v>
      </c>
      <c r="AD1254" s="2">
        <v>1</v>
      </c>
      <c r="AE1254" s="2" t="s">
        <v>0</v>
      </c>
      <c r="AF1254" s="2">
        <v>2</v>
      </c>
      <c r="AG1254" s="2" t="s">
        <v>755</v>
      </c>
    </row>
    <row r="1255" spans="1:33" ht="76.5" x14ac:dyDescent="0.2">
      <c r="A1255" s="5" t="str">
        <f>HYPERLINK("http://www.patentics.cn/invokexml.do?sf=ShowPatent&amp;spn=US9510285&amp;sv=5ab170f340d44075950ad1ef304c650d","US9510285")</f>
        <v>US9510285</v>
      </c>
      <c r="B1255" s="3" t="s">
        <v>5790</v>
      </c>
      <c r="C1255" s="3" t="s">
        <v>5791</v>
      </c>
      <c r="D1255" s="3" t="s">
        <v>52</v>
      </c>
      <c r="E1255" s="3" t="s">
        <v>52</v>
      </c>
      <c r="F1255" s="3" t="s">
        <v>5792</v>
      </c>
      <c r="G1255" s="3" t="s">
        <v>5793</v>
      </c>
      <c r="H1255" s="3" t="s">
        <v>4586</v>
      </c>
      <c r="I1255" s="3" t="s">
        <v>5794</v>
      </c>
      <c r="J1255" s="3" t="s">
        <v>5692</v>
      </c>
      <c r="K1255" s="3" t="s">
        <v>82</v>
      </c>
      <c r="L1255" s="3" t="s">
        <v>516</v>
      </c>
      <c r="M1255" s="3" t="s">
        <v>82</v>
      </c>
      <c r="N1255" s="3" t="s">
        <v>2692</v>
      </c>
      <c r="O1255" s="3">
        <v>0</v>
      </c>
      <c r="P1255" s="3">
        <v>11</v>
      </c>
      <c r="Q1255" s="3" t="s">
        <v>60</v>
      </c>
      <c r="R1255" s="3" t="s">
        <v>61</v>
      </c>
      <c r="S1255" s="3">
        <v>32</v>
      </c>
      <c r="T1255" s="3">
        <v>2</v>
      </c>
      <c r="U1255" s="3">
        <v>30</v>
      </c>
      <c r="V1255" s="3">
        <v>14</v>
      </c>
      <c r="W1255" s="3">
        <v>0</v>
      </c>
      <c r="X1255" s="3" t="s">
        <v>147</v>
      </c>
      <c r="Y1255" s="3">
        <v>0</v>
      </c>
      <c r="Z1255" s="3">
        <v>0</v>
      </c>
      <c r="AA1255" s="3">
        <v>0</v>
      </c>
      <c r="AB1255" s="3">
        <v>0</v>
      </c>
      <c r="AC1255" s="3">
        <v>15</v>
      </c>
      <c r="AD1255" s="3">
        <v>6</v>
      </c>
      <c r="AE1255" s="3">
        <v>14</v>
      </c>
      <c r="AF1255" s="3" t="s">
        <v>0</v>
      </c>
      <c r="AG1255" s="3" t="s">
        <v>49</v>
      </c>
    </row>
    <row r="1256" spans="1:33" ht="51" x14ac:dyDescent="0.2">
      <c r="A1256" s="5" t="str">
        <f>HYPERLINK("http://www.patentics.cn/invokexml.do?sf=ShowPatent&amp;spn=CN103026779B&amp;sv=f9aa11f9dff44ff1b1e6e9bb9e84abab","CN103026779B")</f>
        <v>CN103026779B</v>
      </c>
      <c r="B1256" s="3" t="s">
        <v>5795</v>
      </c>
      <c r="C1256" s="3" t="s">
        <v>5796</v>
      </c>
      <c r="D1256" s="3" t="s">
        <v>338</v>
      </c>
      <c r="E1256" s="3" t="s">
        <v>338</v>
      </c>
      <c r="F1256" s="3" t="s">
        <v>5797</v>
      </c>
      <c r="G1256" s="3" t="s">
        <v>5798</v>
      </c>
      <c r="H1256" s="3" t="s">
        <v>4586</v>
      </c>
      <c r="I1256" s="3" t="s">
        <v>5799</v>
      </c>
      <c r="J1256" s="3" t="s">
        <v>1101</v>
      </c>
      <c r="K1256" s="3" t="s">
        <v>82</v>
      </c>
      <c r="L1256" s="3" t="s">
        <v>5800</v>
      </c>
      <c r="M1256" s="3" t="s">
        <v>0</v>
      </c>
      <c r="N1256" s="3" t="s">
        <v>0</v>
      </c>
      <c r="O1256" s="3">
        <v>16</v>
      </c>
      <c r="P1256" s="3">
        <v>18</v>
      </c>
      <c r="Q1256" s="3" t="s">
        <v>60</v>
      </c>
      <c r="R1256" s="3" t="s">
        <v>61</v>
      </c>
      <c r="S1256" s="3">
        <v>1</v>
      </c>
      <c r="T1256" s="3">
        <v>0</v>
      </c>
      <c r="U1256" s="3">
        <v>1</v>
      </c>
      <c r="V1256" s="3">
        <v>1</v>
      </c>
      <c r="W1256" s="3">
        <v>0</v>
      </c>
      <c r="X1256" s="3" t="s">
        <v>147</v>
      </c>
      <c r="Y1256" s="3">
        <v>0</v>
      </c>
      <c r="Z1256" s="3">
        <v>0</v>
      </c>
      <c r="AA1256" s="3">
        <v>0</v>
      </c>
      <c r="AB1256" s="3">
        <v>0</v>
      </c>
      <c r="AC1256" s="3">
        <v>15</v>
      </c>
      <c r="AD1256" s="3">
        <v>6</v>
      </c>
      <c r="AE1256" s="3">
        <v>14</v>
      </c>
      <c r="AF1256" s="3" t="s">
        <v>0</v>
      </c>
      <c r="AG1256" s="3" t="s">
        <v>49</v>
      </c>
    </row>
    <row r="1257" spans="1:33" x14ac:dyDescent="0.2">
      <c r="A1257" s="4" t="str">
        <f>HYPERLINK("http://www.patentics.cn/invokexml.do?sf=ShowPatent&amp;spn=CN200987177&amp;sv=1b4ba7b7c77dd3ec265873d27a4c6aab","CN200987177")</f>
        <v>CN200987177</v>
      </c>
      <c r="B1257" s="2" t="s">
        <v>5801</v>
      </c>
      <c r="C1257" s="2" t="s">
        <v>5802</v>
      </c>
      <c r="D1257" s="2" t="s">
        <v>38</v>
      </c>
      <c r="E1257" s="2" t="s">
        <v>38</v>
      </c>
      <c r="F1257" s="2" t="s">
        <v>5803</v>
      </c>
      <c r="G1257" s="2" t="s">
        <v>5803</v>
      </c>
      <c r="H1257" s="2" t="s">
        <v>0</v>
      </c>
      <c r="I1257" s="2" t="s">
        <v>5804</v>
      </c>
      <c r="J1257" s="2" t="s">
        <v>5805</v>
      </c>
      <c r="K1257" s="2" t="s">
        <v>58</v>
      </c>
      <c r="L1257" s="2" t="s">
        <v>4713</v>
      </c>
      <c r="M1257" s="2" t="s">
        <v>58</v>
      </c>
      <c r="N1257" s="2" t="s">
        <v>5806</v>
      </c>
      <c r="O1257" s="2">
        <v>1</v>
      </c>
      <c r="P1257" s="2">
        <v>18</v>
      </c>
      <c r="Q1257" s="2" t="s">
        <v>1786</v>
      </c>
      <c r="R1257" s="2" t="s">
        <v>47</v>
      </c>
      <c r="S1257" s="2">
        <v>0</v>
      </c>
      <c r="T1257" s="2">
        <v>0</v>
      </c>
      <c r="U1257" s="2">
        <v>0</v>
      </c>
      <c r="V1257" s="2">
        <v>0</v>
      </c>
      <c r="W1257" s="2">
        <v>3</v>
      </c>
      <c r="X1257" s="2" t="s">
        <v>5807</v>
      </c>
      <c r="Y1257" s="2">
        <v>0</v>
      </c>
      <c r="Z1257" s="2">
        <v>3</v>
      </c>
      <c r="AA1257" s="2">
        <v>2</v>
      </c>
      <c r="AB1257" s="2">
        <v>2</v>
      </c>
      <c r="AC1257" s="2">
        <v>0</v>
      </c>
      <c r="AD1257" s="2">
        <v>0</v>
      </c>
      <c r="AE1257" s="2" t="s">
        <v>0</v>
      </c>
      <c r="AF1257" s="2">
        <v>2</v>
      </c>
      <c r="AG1257" s="2" t="s">
        <v>755</v>
      </c>
    </row>
    <row r="1258" spans="1:33" ht="38.25" x14ac:dyDescent="0.2">
      <c r="A1258" s="5" t="str">
        <f>HYPERLINK("http://www.patentics.cn/invokexml.do?sf=ShowPatent&amp;spn=US8724738&amp;sv=1af877eb2c2e739d780bffed16071cdf","US8724738")</f>
        <v>US8724738</v>
      </c>
      <c r="B1258" s="3" t="s">
        <v>5808</v>
      </c>
      <c r="C1258" s="3" t="s">
        <v>5809</v>
      </c>
      <c r="D1258" s="3" t="s">
        <v>52</v>
      </c>
      <c r="E1258" s="3" t="s">
        <v>52</v>
      </c>
      <c r="F1258" s="3" t="s">
        <v>5810</v>
      </c>
      <c r="G1258" s="3" t="s">
        <v>5811</v>
      </c>
      <c r="H1258" s="3" t="s">
        <v>5812</v>
      </c>
      <c r="I1258" s="3" t="s">
        <v>5813</v>
      </c>
      <c r="J1258" s="3" t="s">
        <v>903</v>
      </c>
      <c r="K1258" s="3" t="s">
        <v>58</v>
      </c>
      <c r="L1258" s="3" t="s">
        <v>94</v>
      </c>
      <c r="M1258" s="3" t="s">
        <v>58</v>
      </c>
      <c r="N1258" s="3" t="s">
        <v>634</v>
      </c>
      <c r="O1258" s="3">
        <v>0</v>
      </c>
      <c r="P1258" s="3">
        <v>11</v>
      </c>
      <c r="Q1258" s="3" t="s">
        <v>60</v>
      </c>
      <c r="R1258" s="3" t="s">
        <v>61</v>
      </c>
      <c r="S1258" s="3">
        <v>21</v>
      </c>
      <c r="T1258" s="3">
        <v>1</v>
      </c>
      <c r="U1258" s="3">
        <v>20</v>
      </c>
      <c r="V1258" s="3">
        <v>7</v>
      </c>
      <c r="W1258" s="3">
        <v>0</v>
      </c>
      <c r="X1258" s="3" t="s">
        <v>147</v>
      </c>
      <c r="Y1258" s="3">
        <v>0</v>
      </c>
      <c r="Z1258" s="3">
        <v>0</v>
      </c>
      <c r="AA1258" s="3">
        <v>0</v>
      </c>
      <c r="AB1258" s="3">
        <v>0</v>
      </c>
      <c r="AC1258" s="3">
        <v>21</v>
      </c>
      <c r="AD1258" s="3">
        <v>7</v>
      </c>
      <c r="AE1258" s="3">
        <v>14</v>
      </c>
      <c r="AF1258" s="3" t="s">
        <v>0</v>
      </c>
      <c r="AG1258" s="3" t="s">
        <v>49</v>
      </c>
    </row>
    <row r="1259" spans="1:33" ht="38.25" x14ac:dyDescent="0.2">
      <c r="A1259" s="5" t="str">
        <f>HYPERLINK("http://www.patentics.cn/invokexml.do?sf=ShowPatent&amp;spn=US8867662&amp;sv=74f03f56def1b6ae43e548b922fbde3b","US8867662")</f>
        <v>US8867662</v>
      </c>
      <c r="B1259" s="3" t="s">
        <v>5814</v>
      </c>
      <c r="C1259" s="3" t="s">
        <v>5809</v>
      </c>
      <c r="D1259" s="3" t="s">
        <v>52</v>
      </c>
      <c r="E1259" s="3" t="s">
        <v>52</v>
      </c>
      <c r="F1259" s="3" t="s">
        <v>5810</v>
      </c>
      <c r="G1259" s="3" t="s">
        <v>5811</v>
      </c>
      <c r="H1259" s="3" t="s">
        <v>5812</v>
      </c>
      <c r="I1259" s="3" t="s">
        <v>2107</v>
      </c>
      <c r="J1259" s="3" t="s">
        <v>4283</v>
      </c>
      <c r="K1259" s="3" t="s">
        <v>58</v>
      </c>
      <c r="L1259" s="3" t="s">
        <v>94</v>
      </c>
      <c r="M1259" s="3" t="s">
        <v>58</v>
      </c>
      <c r="N1259" s="3" t="s">
        <v>634</v>
      </c>
      <c r="O1259" s="3">
        <v>0</v>
      </c>
      <c r="P1259" s="3">
        <v>8</v>
      </c>
      <c r="Q1259" s="3" t="s">
        <v>60</v>
      </c>
      <c r="R1259" s="3" t="s">
        <v>61</v>
      </c>
      <c r="S1259" s="3">
        <v>31</v>
      </c>
      <c r="T1259" s="3">
        <v>2</v>
      </c>
      <c r="U1259" s="3">
        <v>29</v>
      </c>
      <c r="V1259" s="3">
        <v>10</v>
      </c>
      <c r="W1259" s="3">
        <v>0</v>
      </c>
      <c r="X1259" s="3" t="s">
        <v>147</v>
      </c>
      <c r="Y1259" s="3">
        <v>0</v>
      </c>
      <c r="Z1259" s="3">
        <v>0</v>
      </c>
      <c r="AA1259" s="3">
        <v>0</v>
      </c>
      <c r="AB1259" s="3">
        <v>0</v>
      </c>
      <c r="AC1259" s="3">
        <v>21</v>
      </c>
      <c r="AD1259" s="3">
        <v>7</v>
      </c>
      <c r="AE1259" s="3">
        <v>14</v>
      </c>
      <c r="AF1259" s="3" t="s">
        <v>0</v>
      </c>
      <c r="AG1259" s="3" t="s">
        <v>49</v>
      </c>
    </row>
    <row r="1260" spans="1:33" x14ac:dyDescent="0.2">
      <c r="A1260" s="4" t="str">
        <f>HYPERLINK("http://www.patentics.cn/invokexml.do?sf=ShowPatent&amp;spn=CN200980068&amp;sv=a6ede5038bb75e2348e906abf08cba52","CN200980068")</f>
        <v>CN200980068</v>
      </c>
      <c r="B1260" s="2" t="s">
        <v>5815</v>
      </c>
      <c r="C1260" s="2" t="s">
        <v>5816</v>
      </c>
      <c r="D1260" s="2" t="s">
        <v>38</v>
      </c>
      <c r="E1260" s="2" t="s">
        <v>38</v>
      </c>
      <c r="F1260" s="2" t="s">
        <v>5817</v>
      </c>
      <c r="G1260" s="2" t="s">
        <v>5817</v>
      </c>
      <c r="H1260" s="2" t="s">
        <v>0</v>
      </c>
      <c r="I1260" s="2" t="s">
        <v>5818</v>
      </c>
      <c r="J1260" s="2" t="s">
        <v>3656</v>
      </c>
      <c r="K1260" s="2" t="s">
        <v>84</v>
      </c>
      <c r="L1260" s="2" t="s">
        <v>5819</v>
      </c>
      <c r="M1260" s="2" t="s">
        <v>675</v>
      </c>
      <c r="N1260" s="2" t="s">
        <v>5820</v>
      </c>
      <c r="O1260" s="2">
        <v>9</v>
      </c>
      <c r="P1260" s="2">
        <v>26</v>
      </c>
      <c r="Q1260" s="2" t="s">
        <v>1786</v>
      </c>
      <c r="R1260" s="2" t="s">
        <v>47</v>
      </c>
      <c r="S1260" s="2">
        <v>0</v>
      </c>
      <c r="T1260" s="2">
        <v>0</v>
      </c>
      <c r="U1260" s="2">
        <v>0</v>
      </c>
      <c r="V1260" s="2">
        <v>0</v>
      </c>
      <c r="W1260" s="2">
        <v>2</v>
      </c>
      <c r="X1260" s="2" t="s">
        <v>1148</v>
      </c>
      <c r="Y1260" s="2">
        <v>0</v>
      </c>
      <c r="Z1260" s="2">
        <v>2</v>
      </c>
      <c r="AA1260" s="2">
        <v>1</v>
      </c>
      <c r="AB1260" s="2">
        <v>2</v>
      </c>
      <c r="AC1260" s="2">
        <v>0</v>
      </c>
      <c r="AD1260" s="2">
        <v>0</v>
      </c>
      <c r="AE1260" s="2" t="s">
        <v>0</v>
      </c>
      <c r="AF1260" s="2">
        <v>2</v>
      </c>
      <c r="AG1260" s="2" t="s">
        <v>755</v>
      </c>
    </row>
    <row r="1261" spans="1:33" ht="102" x14ac:dyDescent="0.2">
      <c r="A1261" s="5" t="str">
        <f>HYPERLINK("http://www.patentics.cn/invokexml.do?sf=ShowPatent&amp;spn=US9287886&amp;sv=3782c4954b9709f7c666724526339b21","US9287886")</f>
        <v>US9287886</v>
      </c>
      <c r="B1261" s="3" t="s">
        <v>5821</v>
      </c>
      <c r="C1261" s="3" t="s">
        <v>5822</v>
      </c>
      <c r="D1261" s="3" t="s">
        <v>52</v>
      </c>
      <c r="E1261" s="3" t="s">
        <v>52</v>
      </c>
      <c r="F1261" s="3" t="s">
        <v>5823</v>
      </c>
      <c r="G1261" s="3" t="s">
        <v>5824</v>
      </c>
      <c r="H1261" s="3" t="s">
        <v>5825</v>
      </c>
      <c r="I1261" s="3" t="s">
        <v>1441</v>
      </c>
      <c r="J1261" s="3" t="s">
        <v>689</v>
      </c>
      <c r="K1261" s="3" t="s">
        <v>84</v>
      </c>
      <c r="L1261" s="3" t="s">
        <v>5826</v>
      </c>
      <c r="M1261" s="3" t="s">
        <v>5827</v>
      </c>
      <c r="N1261" s="3" t="s">
        <v>5828</v>
      </c>
      <c r="O1261" s="3">
        <v>0</v>
      </c>
      <c r="P1261" s="3">
        <v>17</v>
      </c>
      <c r="Q1261" s="3" t="s">
        <v>60</v>
      </c>
      <c r="R1261" s="3" t="s">
        <v>61</v>
      </c>
      <c r="S1261" s="3">
        <v>47</v>
      </c>
      <c r="T1261" s="3">
        <v>5</v>
      </c>
      <c r="U1261" s="3">
        <v>42</v>
      </c>
      <c r="V1261" s="3">
        <v>24</v>
      </c>
      <c r="W1261" s="3">
        <v>1</v>
      </c>
      <c r="X1261" s="3" t="s">
        <v>1232</v>
      </c>
      <c r="Y1261" s="3">
        <v>0</v>
      </c>
      <c r="Z1261" s="3">
        <v>1</v>
      </c>
      <c r="AA1261" s="3">
        <v>1</v>
      </c>
      <c r="AB1261" s="3">
        <v>1</v>
      </c>
      <c r="AC1261" s="3">
        <v>11</v>
      </c>
      <c r="AD1261" s="3">
        <v>7</v>
      </c>
      <c r="AE1261" s="3">
        <v>14</v>
      </c>
      <c r="AF1261" s="3" t="s">
        <v>0</v>
      </c>
      <c r="AG1261" s="3" t="s">
        <v>49</v>
      </c>
    </row>
    <row r="1262" spans="1:33" ht="89.25" x14ac:dyDescent="0.2">
      <c r="A1262" s="5" t="str">
        <f>HYPERLINK("http://www.patentics.cn/invokexml.do?sf=ShowPatent&amp;spn=CN101960720B&amp;sv=d1a7eeece51aec84c8f64d7613ba4e3c","CN101960720B")</f>
        <v>CN101960720B</v>
      </c>
      <c r="B1262" s="3" t="s">
        <v>5829</v>
      </c>
      <c r="C1262" s="3" t="s">
        <v>5830</v>
      </c>
      <c r="D1262" s="3" t="s">
        <v>338</v>
      </c>
      <c r="E1262" s="3" t="s">
        <v>338</v>
      </c>
      <c r="F1262" s="3" t="s">
        <v>5831</v>
      </c>
      <c r="G1262" s="3" t="s">
        <v>5832</v>
      </c>
      <c r="H1262" s="3" t="s">
        <v>5825</v>
      </c>
      <c r="I1262" s="3" t="s">
        <v>681</v>
      </c>
      <c r="J1262" s="3" t="s">
        <v>5522</v>
      </c>
      <c r="K1262" s="3" t="s">
        <v>5827</v>
      </c>
      <c r="L1262" s="3" t="s">
        <v>5833</v>
      </c>
      <c r="M1262" s="3" t="s">
        <v>0</v>
      </c>
      <c r="N1262" s="3" t="s">
        <v>0</v>
      </c>
      <c r="O1262" s="3">
        <v>26</v>
      </c>
      <c r="P1262" s="3">
        <v>18</v>
      </c>
      <c r="Q1262" s="3" t="s">
        <v>60</v>
      </c>
      <c r="R1262" s="3" t="s">
        <v>61</v>
      </c>
      <c r="S1262" s="3">
        <v>6</v>
      </c>
      <c r="T1262" s="3">
        <v>0</v>
      </c>
      <c r="U1262" s="3">
        <v>6</v>
      </c>
      <c r="V1262" s="3">
        <v>5</v>
      </c>
      <c r="W1262" s="3">
        <v>0</v>
      </c>
      <c r="X1262" s="3" t="s">
        <v>147</v>
      </c>
      <c r="Y1262" s="3">
        <v>0</v>
      </c>
      <c r="Z1262" s="3">
        <v>0</v>
      </c>
      <c r="AA1262" s="3">
        <v>0</v>
      </c>
      <c r="AB1262" s="3">
        <v>0</v>
      </c>
      <c r="AC1262" s="3">
        <v>11</v>
      </c>
      <c r="AD1262" s="3">
        <v>7</v>
      </c>
      <c r="AE1262" s="3">
        <v>14</v>
      </c>
      <c r="AF1262" s="3" t="s">
        <v>0</v>
      </c>
      <c r="AG1262" s="3" t="s">
        <v>49</v>
      </c>
    </row>
    <row r="1263" spans="1:33" ht="38.25" x14ac:dyDescent="0.2">
      <c r="A1263" s="4" t="str">
        <f>HYPERLINK("http://www.patentics.cn/invokexml.do?sf=ShowPatent&amp;spn=CN101076001&amp;sv=58e7fe8f76f78f53f82c91f7ba5202ec","CN101076001")</f>
        <v>CN101076001</v>
      </c>
      <c r="B1263" s="2" t="s">
        <v>5834</v>
      </c>
      <c r="C1263" s="2" t="s">
        <v>5835</v>
      </c>
      <c r="D1263" s="2" t="s">
        <v>38</v>
      </c>
      <c r="E1263" s="2" t="s">
        <v>38</v>
      </c>
      <c r="F1263" s="2" t="s">
        <v>5836</v>
      </c>
      <c r="G1263" s="2" t="s">
        <v>5837</v>
      </c>
      <c r="H1263" s="2" t="s">
        <v>5838</v>
      </c>
      <c r="I1263" s="2" t="s">
        <v>5838</v>
      </c>
      <c r="J1263" s="2" t="s">
        <v>3656</v>
      </c>
      <c r="K1263" s="2" t="s">
        <v>58</v>
      </c>
      <c r="L1263" s="2" t="s">
        <v>326</v>
      </c>
      <c r="M1263" s="2" t="s">
        <v>84</v>
      </c>
      <c r="N1263" s="2" t="s">
        <v>2604</v>
      </c>
      <c r="O1263" s="2">
        <v>8</v>
      </c>
      <c r="P1263" s="2">
        <v>32</v>
      </c>
      <c r="Q1263" s="2" t="s">
        <v>46</v>
      </c>
      <c r="R1263" s="2" t="s">
        <v>47</v>
      </c>
      <c r="S1263" s="2">
        <v>0</v>
      </c>
      <c r="T1263" s="2">
        <v>0</v>
      </c>
      <c r="U1263" s="2">
        <v>0</v>
      </c>
      <c r="V1263" s="2">
        <v>0</v>
      </c>
      <c r="W1263" s="2">
        <v>6</v>
      </c>
      <c r="X1263" s="2" t="s">
        <v>5839</v>
      </c>
      <c r="Y1263" s="2">
        <v>0</v>
      </c>
      <c r="Z1263" s="2">
        <v>6</v>
      </c>
      <c r="AA1263" s="2">
        <v>2</v>
      </c>
      <c r="AB1263" s="2">
        <v>3</v>
      </c>
      <c r="AC1263" s="2">
        <v>1</v>
      </c>
      <c r="AD1263" s="2">
        <v>1</v>
      </c>
      <c r="AE1263" s="2" t="s">
        <v>0</v>
      </c>
      <c r="AF1263" s="2">
        <v>2</v>
      </c>
      <c r="AG1263" s="2" t="s">
        <v>49</v>
      </c>
    </row>
    <row r="1264" spans="1:33" ht="51" x14ac:dyDescent="0.2">
      <c r="A1264" s="5" t="str">
        <f>HYPERLINK("http://www.patentics.cn/invokexml.do?sf=ShowPatent&amp;spn=US8964621&amp;sv=b7e882c0139dd71bb191d7c63b44fb05","US8964621")</f>
        <v>US8964621</v>
      </c>
      <c r="B1264" s="3" t="s">
        <v>5425</v>
      </c>
      <c r="C1264" s="3" t="s">
        <v>5426</v>
      </c>
      <c r="D1264" s="3" t="s">
        <v>52</v>
      </c>
      <c r="E1264" s="3" t="s">
        <v>52</v>
      </c>
      <c r="F1264" s="3" t="s">
        <v>5427</v>
      </c>
      <c r="G1264" s="3" t="s">
        <v>5428</v>
      </c>
      <c r="H1264" s="3" t="s">
        <v>5429</v>
      </c>
      <c r="I1264" s="3" t="s">
        <v>3801</v>
      </c>
      <c r="J1264" s="3" t="s">
        <v>805</v>
      </c>
      <c r="K1264" s="3" t="s">
        <v>1246</v>
      </c>
      <c r="L1264" s="3" t="s">
        <v>5430</v>
      </c>
      <c r="M1264" s="3" t="s">
        <v>58</v>
      </c>
      <c r="N1264" s="3" t="s">
        <v>335</v>
      </c>
      <c r="O1264" s="3">
        <v>0</v>
      </c>
      <c r="P1264" s="3">
        <v>9</v>
      </c>
      <c r="Q1264" s="3" t="s">
        <v>60</v>
      </c>
      <c r="R1264" s="3" t="s">
        <v>61</v>
      </c>
      <c r="S1264" s="3">
        <v>37</v>
      </c>
      <c r="T1264" s="3">
        <v>11</v>
      </c>
      <c r="U1264" s="3">
        <v>26</v>
      </c>
      <c r="V1264" s="3">
        <v>13</v>
      </c>
      <c r="W1264" s="3">
        <v>0</v>
      </c>
      <c r="X1264" s="3" t="s">
        <v>147</v>
      </c>
      <c r="Y1264" s="3">
        <v>0</v>
      </c>
      <c r="Z1264" s="3">
        <v>0</v>
      </c>
      <c r="AA1264" s="3">
        <v>0</v>
      </c>
      <c r="AB1264" s="3">
        <v>0</v>
      </c>
      <c r="AC1264" s="3">
        <v>6</v>
      </c>
      <c r="AD1264" s="3">
        <v>6</v>
      </c>
      <c r="AE1264" s="3">
        <v>14</v>
      </c>
      <c r="AF1264" s="3" t="s">
        <v>0</v>
      </c>
      <c r="AG1264" s="3" t="s">
        <v>49</v>
      </c>
    </row>
    <row r="1265" spans="1:33" ht="25.5" x14ac:dyDescent="0.2">
      <c r="A1265" s="5" t="str">
        <f>HYPERLINK("http://www.patentics.cn/invokexml.do?sf=ShowPatent&amp;spn=CN102422587B&amp;sv=9d80a49a1dcd413f20e0620994029909","CN102422587B")</f>
        <v>CN102422587B</v>
      </c>
      <c r="B1265" s="3" t="s">
        <v>5431</v>
      </c>
      <c r="C1265" s="3" t="s">
        <v>5432</v>
      </c>
      <c r="D1265" s="3" t="s">
        <v>338</v>
      </c>
      <c r="E1265" s="3" t="s">
        <v>338</v>
      </c>
      <c r="F1265" s="3" t="s">
        <v>5433</v>
      </c>
      <c r="G1265" s="3" t="s">
        <v>3089</v>
      </c>
      <c r="H1265" s="3" t="s">
        <v>5429</v>
      </c>
      <c r="I1265" s="3" t="s">
        <v>2176</v>
      </c>
      <c r="J1265" s="3" t="s">
        <v>5434</v>
      </c>
      <c r="K1265" s="3" t="s">
        <v>58</v>
      </c>
      <c r="L1265" s="3" t="s">
        <v>188</v>
      </c>
      <c r="M1265" s="3" t="s">
        <v>0</v>
      </c>
      <c r="N1265" s="3" t="s">
        <v>0</v>
      </c>
      <c r="O1265" s="3">
        <v>25</v>
      </c>
      <c r="P1265" s="3">
        <v>9</v>
      </c>
      <c r="Q1265" s="3" t="s">
        <v>60</v>
      </c>
      <c r="R1265" s="3" t="s">
        <v>61</v>
      </c>
      <c r="S1265" s="3">
        <v>3</v>
      </c>
      <c r="T1265" s="3">
        <v>0</v>
      </c>
      <c r="U1265" s="3">
        <v>3</v>
      </c>
      <c r="V1265" s="3">
        <v>2</v>
      </c>
      <c r="W1265" s="3">
        <v>0</v>
      </c>
      <c r="X1265" s="3" t="s">
        <v>147</v>
      </c>
      <c r="Y1265" s="3">
        <v>0</v>
      </c>
      <c r="Z1265" s="3">
        <v>0</v>
      </c>
      <c r="AA1265" s="3">
        <v>0</v>
      </c>
      <c r="AB1265" s="3">
        <v>0</v>
      </c>
      <c r="AC1265" s="3">
        <v>0</v>
      </c>
      <c r="AD1265" s="3">
        <v>0</v>
      </c>
      <c r="AE1265" s="3">
        <v>14</v>
      </c>
      <c r="AF1265" s="3" t="s">
        <v>0</v>
      </c>
      <c r="AG1265" s="3" t="s">
        <v>49</v>
      </c>
    </row>
    <row r="1266" spans="1:33" ht="25.5" x14ac:dyDescent="0.2">
      <c r="A1266" s="4" t="str">
        <f>HYPERLINK("http://www.patentics.cn/invokexml.do?sf=ShowPatent&amp;spn=CN101068383&amp;sv=52584c8a899cda5c4ba2ae778e083962","CN101068383")</f>
        <v>CN101068383</v>
      </c>
      <c r="B1266" s="2" t="s">
        <v>5840</v>
      </c>
      <c r="C1266" s="2" t="s">
        <v>5841</v>
      </c>
      <c r="D1266" s="2" t="s">
        <v>38</v>
      </c>
      <c r="E1266" s="2" t="s">
        <v>38</v>
      </c>
      <c r="F1266" s="2" t="s">
        <v>5842</v>
      </c>
      <c r="G1266" s="2" t="s">
        <v>5843</v>
      </c>
      <c r="H1266" s="2" t="s">
        <v>5844</v>
      </c>
      <c r="I1266" s="2" t="s">
        <v>5844</v>
      </c>
      <c r="J1266" s="2" t="s">
        <v>5845</v>
      </c>
      <c r="K1266" s="2" t="s">
        <v>43</v>
      </c>
      <c r="L1266" s="2" t="s">
        <v>1588</v>
      </c>
      <c r="M1266" s="2" t="s">
        <v>58</v>
      </c>
      <c r="N1266" s="2" t="s">
        <v>1832</v>
      </c>
      <c r="O1266" s="2">
        <v>14</v>
      </c>
      <c r="P1266" s="2">
        <v>22</v>
      </c>
      <c r="Q1266" s="2" t="s">
        <v>46</v>
      </c>
      <c r="R1266" s="2" t="s">
        <v>47</v>
      </c>
      <c r="S1266" s="2">
        <v>0</v>
      </c>
      <c r="T1266" s="2">
        <v>0</v>
      </c>
      <c r="U1266" s="2">
        <v>0</v>
      </c>
      <c r="V1266" s="2">
        <v>0</v>
      </c>
      <c r="W1266" s="2">
        <v>4</v>
      </c>
      <c r="X1266" s="2" t="s">
        <v>2595</v>
      </c>
      <c r="Y1266" s="2">
        <v>0</v>
      </c>
      <c r="Z1266" s="2">
        <v>4</v>
      </c>
      <c r="AA1266" s="2">
        <v>2</v>
      </c>
      <c r="AB1266" s="2">
        <v>3</v>
      </c>
      <c r="AC1266" s="2">
        <v>1</v>
      </c>
      <c r="AD1266" s="2">
        <v>1</v>
      </c>
      <c r="AE1266" s="2" t="s">
        <v>0</v>
      </c>
      <c r="AF1266" s="2">
        <v>2</v>
      </c>
      <c r="AG1266" s="2" t="s">
        <v>49</v>
      </c>
    </row>
    <row r="1267" spans="1:33" ht="25.5" x14ac:dyDescent="0.2">
      <c r="A1267" s="5" t="str">
        <f>HYPERLINK("http://www.patentics.cn/invokexml.do?sf=ShowPatent&amp;spn=US8413217&amp;sv=f3f7922376cf51dee225be31145fb3c8","US8413217")</f>
        <v>US8413217</v>
      </c>
      <c r="B1267" s="3" t="s">
        <v>5846</v>
      </c>
      <c r="C1267" s="3" t="s">
        <v>5847</v>
      </c>
      <c r="D1267" s="3" t="s">
        <v>52</v>
      </c>
      <c r="E1267" s="3" t="s">
        <v>52</v>
      </c>
      <c r="F1267" s="3" t="s">
        <v>5848</v>
      </c>
      <c r="G1267" s="3" t="s">
        <v>5848</v>
      </c>
      <c r="H1267" s="3" t="s">
        <v>1587</v>
      </c>
      <c r="I1267" s="3" t="s">
        <v>1587</v>
      </c>
      <c r="J1267" s="3" t="s">
        <v>5849</v>
      </c>
      <c r="K1267" s="3" t="s">
        <v>555</v>
      </c>
      <c r="L1267" s="3" t="s">
        <v>1797</v>
      </c>
      <c r="M1267" s="3" t="s">
        <v>270</v>
      </c>
      <c r="N1267" s="3" t="s">
        <v>5850</v>
      </c>
      <c r="O1267" s="3">
        <v>0</v>
      </c>
      <c r="P1267" s="3">
        <v>25</v>
      </c>
      <c r="Q1267" s="3" t="s">
        <v>60</v>
      </c>
      <c r="R1267" s="3" t="s">
        <v>61</v>
      </c>
      <c r="S1267" s="3">
        <v>26</v>
      </c>
      <c r="T1267" s="3">
        <v>1</v>
      </c>
      <c r="U1267" s="3">
        <v>25</v>
      </c>
      <c r="V1267" s="3">
        <v>19</v>
      </c>
      <c r="W1267" s="3">
        <v>6</v>
      </c>
      <c r="X1267" s="3" t="s">
        <v>403</v>
      </c>
      <c r="Y1267" s="3">
        <v>0</v>
      </c>
      <c r="Z1267" s="3">
        <v>6</v>
      </c>
      <c r="AA1267" s="3">
        <v>3</v>
      </c>
      <c r="AB1267" s="3">
        <v>1</v>
      </c>
      <c r="AC1267" s="3">
        <v>13</v>
      </c>
      <c r="AD1267" s="3">
        <v>7</v>
      </c>
      <c r="AE1267" s="3">
        <v>14</v>
      </c>
      <c r="AF1267" s="3" t="s">
        <v>0</v>
      </c>
      <c r="AG1267" s="3" t="s">
        <v>49</v>
      </c>
    </row>
    <row r="1268" spans="1:33" ht="25.5" x14ac:dyDescent="0.2">
      <c r="A1268" s="5" t="str">
        <f>HYPERLINK("http://www.patentics.cn/invokexml.do?sf=ShowPatent&amp;spn=CN102342084B&amp;sv=7fd6deb79243ce5ba65c324123c0b224","CN102342084B")</f>
        <v>CN102342084B</v>
      </c>
      <c r="B1268" s="3" t="s">
        <v>5851</v>
      </c>
      <c r="C1268" s="3" t="s">
        <v>5852</v>
      </c>
      <c r="D1268" s="3" t="s">
        <v>338</v>
      </c>
      <c r="E1268" s="3" t="s">
        <v>338</v>
      </c>
      <c r="F1268" s="3" t="s">
        <v>5853</v>
      </c>
      <c r="G1268" s="3" t="s">
        <v>5853</v>
      </c>
      <c r="H1268" s="3" t="s">
        <v>1587</v>
      </c>
      <c r="I1268" s="3" t="s">
        <v>3269</v>
      </c>
      <c r="J1268" s="3" t="s">
        <v>1309</v>
      </c>
      <c r="K1268" s="3" t="s">
        <v>270</v>
      </c>
      <c r="L1268" s="3" t="s">
        <v>5631</v>
      </c>
      <c r="M1268" s="3" t="s">
        <v>0</v>
      </c>
      <c r="N1268" s="3" t="s">
        <v>0</v>
      </c>
      <c r="O1268" s="3">
        <v>43</v>
      </c>
      <c r="P1268" s="3">
        <v>18</v>
      </c>
      <c r="Q1268" s="3" t="s">
        <v>60</v>
      </c>
      <c r="R1268" s="3" t="s">
        <v>61</v>
      </c>
      <c r="S1268" s="3">
        <v>3</v>
      </c>
      <c r="T1268" s="3">
        <v>0</v>
      </c>
      <c r="U1268" s="3">
        <v>3</v>
      </c>
      <c r="V1268" s="3">
        <v>3</v>
      </c>
      <c r="W1268" s="3">
        <v>0</v>
      </c>
      <c r="X1268" s="3" t="s">
        <v>147</v>
      </c>
      <c r="Y1268" s="3">
        <v>0</v>
      </c>
      <c r="Z1268" s="3">
        <v>0</v>
      </c>
      <c r="AA1268" s="3">
        <v>0</v>
      </c>
      <c r="AB1268" s="3">
        <v>0</v>
      </c>
      <c r="AC1268" s="3">
        <v>0</v>
      </c>
      <c r="AD1268" s="3">
        <v>0</v>
      </c>
      <c r="AE1268" s="3">
        <v>14</v>
      </c>
      <c r="AF1268" s="3" t="s">
        <v>0</v>
      </c>
      <c r="AG1268" s="3" t="s">
        <v>49</v>
      </c>
    </row>
    <row r="1269" spans="1:33" ht="25.5" x14ac:dyDescent="0.2">
      <c r="A1269" s="4" t="str">
        <f>HYPERLINK("http://www.patentics.cn/invokexml.do?sf=ShowPatent&amp;spn=CN101064943&amp;sv=270d898951adbaf2ca44446641e0dbd6","CN101064943")</f>
        <v>CN101064943</v>
      </c>
      <c r="B1269" s="2" t="s">
        <v>5854</v>
      </c>
      <c r="C1269" s="2" t="s">
        <v>5855</v>
      </c>
      <c r="D1269" s="2" t="s">
        <v>38</v>
      </c>
      <c r="E1269" s="2" t="s">
        <v>38</v>
      </c>
      <c r="F1269" s="2" t="s">
        <v>5613</v>
      </c>
      <c r="G1269" s="2" t="s">
        <v>5613</v>
      </c>
      <c r="H1269" s="2" t="s">
        <v>4743</v>
      </c>
      <c r="I1269" s="2" t="s">
        <v>4743</v>
      </c>
      <c r="J1269" s="2" t="s">
        <v>399</v>
      </c>
      <c r="K1269" s="2" t="s">
        <v>43</v>
      </c>
      <c r="L1269" s="2" t="s">
        <v>2591</v>
      </c>
      <c r="M1269" s="2" t="s">
        <v>43</v>
      </c>
      <c r="N1269" s="2" t="s">
        <v>45</v>
      </c>
      <c r="O1269" s="2">
        <v>4</v>
      </c>
      <c r="P1269" s="2">
        <v>52</v>
      </c>
      <c r="Q1269" s="2" t="s">
        <v>46</v>
      </c>
      <c r="R1269" s="2" t="s">
        <v>47</v>
      </c>
      <c r="S1269" s="2">
        <v>0</v>
      </c>
      <c r="T1269" s="2">
        <v>0</v>
      </c>
      <c r="U1269" s="2">
        <v>0</v>
      </c>
      <c r="V1269" s="2">
        <v>0</v>
      </c>
      <c r="W1269" s="2">
        <v>28</v>
      </c>
      <c r="X1269" s="2" t="s">
        <v>5856</v>
      </c>
      <c r="Y1269" s="2">
        <v>6</v>
      </c>
      <c r="Z1269" s="2">
        <v>22</v>
      </c>
      <c r="AA1269" s="2">
        <v>9</v>
      </c>
      <c r="AB1269" s="2">
        <v>3</v>
      </c>
      <c r="AC1269" s="2">
        <v>1</v>
      </c>
      <c r="AD1269" s="2">
        <v>1</v>
      </c>
      <c r="AE1269" s="2" t="s">
        <v>0</v>
      </c>
      <c r="AF1269" s="2">
        <v>2</v>
      </c>
      <c r="AG1269" s="2" t="s">
        <v>49</v>
      </c>
    </row>
    <row r="1270" spans="1:33" ht="51" x14ac:dyDescent="0.2">
      <c r="A1270" s="5" t="str">
        <f>HYPERLINK("http://www.patentics.cn/invokexml.do?sf=ShowPatent&amp;spn=US9215731&amp;sv=78d79e3ab971b39dd78188635b9bb2d8","US9215731")</f>
        <v>US9215731</v>
      </c>
      <c r="B1270" s="3" t="s">
        <v>5857</v>
      </c>
      <c r="C1270" s="3" t="s">
        <v>5858</v>
      </c>
      <c r="D1270" s="3" t="s">
        <v>52</v>
      </c>
      <c r="E1270" s="3" t="s">
        <v>52</v>
      </c>
      <c r="F1270" s="3" t="s">
        <v>5859</v>
      </c>
      <c r="G1270" s="3" t="s">
        <v>5860</v>
      </c>
      <c r="H1270" s="3" t="s">
        <v>1299</v>
      </c>
      <c r="I1270" s="3" t="s">
        <v>2631</v>
      </c>
      <c r="J1270" s="3" t="s">
        <v>2568</v>
      </c>
      <c r="K1270" s="3" t="s">
        <v>70</v>
      </c>
      <c r="L1270" s="3" t="s">
        <v>5861</v>
      </c>
      <c r="M1270" s="3" t="s">
        <v>82</v>
      </c>
      <c r="N1270" s="3" t="s">
        <v>235</v>
      </c>
      <c r="O1270" s="3">
        <v>0</v>
      </c>
      <c r="P1270" s="3">
        <v>39</v>
      </c>
      <c r="Q1270" s="3" t="s">
        <v>60</v>
      </c>
      <c r="R1270" s="3" t="s">
        <v>61</v>
      </c>
      <c r="S1270" s="3">
        <v>31</v>
      </c>
      <c r="T1270" s="3">
        <v>0</v>
      </c>
      <c r="U1270" s="3">
        <v>31</v>
      </c>
      <c r="V1270" s="3">
        <v>17</v>
      </c>
      <c r="W1270" s="3">
        <v>13</v>
      </c>
      <c r="X1270" s="3" t="s">
        <v>3185</v>
      </c>
      <c r="Y1270" s="3">
        <v>0</v>
      </c>
      <c r="Z1270" s="3">
        <v>13</v>
      </c>
      <c r="AA1270" s="3">
        <v>1</v>
      </c>
      <c r="AB1270" s="3">
        <v>2</v>
      </c>
      <c r="AC1270" s="3">
        <v>33</v>
      </c>
      <c r="AD1270" s="3">
        <v>14</v>
      </c>
      <c r="AE1270" s="3">
        <v>14</v>
      </c>
      <c r="AF1270" s="3" t="s">
        <v>0</v>
      </c>
      <c r="AG1270" s="3" t="s">
        <v>49</v>
      </c>
    </row>
    <row r="1271" spans="1:33" ht="38.25" x14ac:dyDescent="0.2">
      <c r="A1271" s="5" t="str">
        <f>HYPERLINK("http://www.patentics.cn/invokexml.do?sf=ShowPatent&amp;spn=CN101904213B&amp;sv=0e654b802638a8d940f43ec40a987699","CN101904213B")</f>
        <v>CN101904213B</v>
      </c>
      <c r="B1271" s="3" t="s">
        <v>5862</v>
      </c>
      <c r="C1271" s="3" t="s">
        <v>5863</v>
      </c>
      <c r="D1271" s="3" t="s">
        <v>338</v>
      </c>
      <c r="E1271" s="3" t="s">
        <v>338</v>
      </c>
      <c r="F1271" s="3" t="s">
        <v>5864</v>
      </c>
      <c r="G1271" s="3" t="s">
        <v>5865</v>
      </c>
      <c r="H1271" s="3" t="s">
        <v>1299</v>
      </c>
      <c r="I1271" s="3" t="s">
        <v>5866</v>
      </c>
      <c r="J1271" s="3" t="s">
        <v>5867</v>
      </c>
      <c r="K1271" s="3" t="s">
        <v>82</v>
      </c>
      <c r="L1271" s="3" t="s">
        <v>1310</v>
      </c>
      <c r="M1271" s="3" t="s">
        <v>0</v>
      </c>
      <c r="N1271" s="3" t="s">
        <v>0</v>
      </c>
      <c r="O1271" s="3">
        <v>14</v>
      </c>
      <c r="P1271" s="3">
        <v>25</v>
      </c>
      <c r="Q1271" s="3" t="s">
        <v>60</v>
      </c>
      <c r="R1271" s="3" t="s">
        <v>61</v>
      </c>
      <c r="S1271" s="3">
        <v>2</v>
      </c>
      <c r="T1271" s="3">
        <v>0</v>
      </c>
      <c r="U1271" s="3">
        <v>2</v>
      </c>
      <c r="V1271" s="3">
        <v>2</v>
      </c>
      <c r="W1271" s="3">
        <v>12</v>
      </c>
      <c r="X1271" s="3" t="s">
        <v>147</v>
      </c>
      <c r="Y1271" s="3">
        <v>0</v>
      </c>
      <c r="Z1271" s="3">
        <v>12</v>
      </c>
      <c r="AA1271" s="3">
        <v>0</v>
      </c>
      <c r="AB1271" s="3">
        <v>1</v>
      </c>
      <c r="AC1271" s="3">
        <v>0</v>
      </c>
      <c r="AD1271" s="3">
        <v>0</v>
      </c>
      <c r="AE1271" s="3">
        <v>14</v>
      </c>
      <c r="AF1271" s="3" t="s">
        <v>0</v>
      </c>
      <c r="AG1271" s="3" t="s">
        <v>49</v>
      </c>
    </row>
    <row r="1272" spans="1:33" ht="25.5" x14ac:dyDescent="0.2">
      <c r="A1272" s="4" t="str">
        <f>HYPERLINK("http://www.patentics.cn/invokexml.do?sf=ShowPatent&amp;spn=CN101056276&amp;sv=3713498f4396271273068c5327158707","CN101056276")</f>
        <v>CN101056276</v>
      </c>
      <c r="B1272" s="2" t="s">
        <v>5868</v>
      </c>
      <c r="C1272" s="2" t="s">
        <v>5869</v>
      </c>
      <c r="D1272" s="2" t="s">
        <v>38</v>
      </c>
      <c r="E1272" s="2" t="s">
        <v>38</v>
      </c>
      <c r="F1272" s="2" t="s">
        <v>5870</v>
      </c>
      <c r="G1272" s="2" t="s">
        <v>5871</v>
      </c>
      <c r="H1272" s="2" t="s">
        <v>0</v>
      </c>
      <c r="I1272" s="2" t="s">
        <v>5872</v>
      </c>
      <c r="J1272" s="2" t="s">
        <v>4681</v>
      </c>
      <c r="K1272" s="2" t="s">
        <v>58</v>
      </c>
      <c r="L1272" s="2" t="s">
        <v>5873</v>
      </c>
      <c r="M1272" s="2" t="s">
        <v>58</v>
      </c>
      <c r="N1272" s="2" t="s">
        <v>1785</v>
      </c>
      <c r="O1272" s="2">
        <v>9</v>
      </c>
      <c r="P1272" s="2">
        <v>7</v>
      </c>
      <c r="Q1272" s="2" t="s">
        <v>46</v>
      </c>
      <c r="R1272" s="2" t="s">
        <v>47</v>
      </c>
      <c r="S1272" s="2">
        <v>1</v>
      </c>
      <c r="T1272" s="2">
        <v>0</v>
      </c>
      <c r="U1272" s="2">
        <v>1</v>
      </c>
      <c r="V1272" s="2">
        <v>1</v>
      </c>
      <c r="W1272" s="2">
        <v>6</v>
      </c>
      <c r="X1272" s="2" t="s">
        <v>5874</v>
      </c>
      <c r="Y1272" s="2">
        <v>1</v>
      </c>
      <c r="Z1272" s="2">
        <v>5</v>
      </c>
      <c r="AA1272" s="2">
        <v>5</v>
      </c>
      <c r="AB1272" s="2">
        <v>3</v>
      </c>
      <c r="AC1272" s="2">
        <v>0</v>
      </c>
      <c r="AD1272" s="2">
        <v>0</v>
      </c>
      <c r="AE1272" s="2" t="s">
        <v>0</v>
      </c>
      <c r="AF1272" s="2">
        <v>2</v>
      </c>
      <c r="AG1272" s="2" t="s">
        <v>547</v>
      </c>
    </row>
    <row r="1273" spans="1:33" ht="76.5" x14ac:dyDescent="0.2">
      <c r="A1273" s="5" t="str">
        <f>HYPERLINK("http://www.patentics.cn/invokexml.do?sf=ShowPatent&amp;spn=US8732272&amp;sv=bf6586e3b79846dfb52516efde78458c","US8732272")</f>
        <v>US8732272</v>
      </c>
      <c r="B1273" s="3" t="s">
        <v>5875</v>
      </c>
      <c r="C1273" s="3" t="s">
        <v>5876</v>
      </c>
      <c r="D1273" s="3" t="s">
        <v>52</v>
      </c>
      <c r="E1273" s="3" t="s">
        <v>52</v>
      </c>
      <c r="F1273" s="3" t="s">
        <v>5877</v>
      </c>
      <c r="G1273" s="3" t="s">
        <v>5878</v>
      </c>
      <c r="H1273" s="3" t="s">
        <v>5879</v>
      </c>
      <c r="I1273" s="3" t="s">
        <v>5879</v>
      </c>
      <c r="J1273" s="3" t="s">
        <v>4687</v>
      </c>
      <c r="K1273" s="3" t="s">
        <v>555</v>
      </c>
      <c r="L1273" s="3" t="s">
        <v>556</v>
      </c>
      <c r="M1273" s="3" t="s">
        <v>82</v>
      </c>
      <c r="N1273" s="3" t="s">
        <v>5880</v>
      </c>
      <c r="O1273" s="3">
        <v>0</v>
      </c>
      <c r="P1273" s="3">
        <v>11</v>
      </c>
      <c r="Q1273" s="3" t="s">
        <v>60</v>
      </c>
      <c r="R1273" s="3" t="s">
        <v>61</v>
      </c>
      <c r="S1273" s="3">
        <v>15</v>
      </c>
      <c r="T1273" s="3">
        <v>1</v>
      </c>
      <c r="U1273" s="3">
        <v>14</v>
      </c>
      <c r="V1273" s="3">
        <v>14</v>
      </c>
      <c r="W1273" s="3">
        <v>0</v>
      </c>
      <c r="X1273" s="3" t="s">
        <v>147</v>
      </c>
      <c r="Y1273" s="3">
        <v>0</v>
      </c>
      <c r="Z1273" s="3">
        <v>0</v>
      </c>
      <c r="AA1273" s="3">
        <v>0</v>
      </c>
      <c r="AB1273" s="3">
        <v>0</v>
      </c>
      <c r="AC1273" s="3">
        <v>5</v>
      </c>
      <c r="AD1273" s="3">
        <v>4</v>
      </c>
      <c r="AE1273" s="3">
        <v>14</v>
      </c>
      <c r="AF1273" s="3" t="s">
        <v>0</v>
      </c>
      <c r="AG1273" s="3" t="s">
        <v>49</v>
      </c>
    </row>
    <row r="1274" spans="1:33" ht="63.75" x14ac:dyDescent="0.2">
      <c r="A1274" s="5" t="str">
        <f>HYPERLINK("http://www.patentics.cn/invokexml.do?sf=ShowPatent&amp;spn=CN102550050B&amp;sv=ec80d5a04d7c2e0374824876194ca7c1","CN102550050B")</f>
        <v>CN102550050B</v>
      </c>
      <c r="B1274" s="3" t="s">
        <v>5881</v>
      </c>
      <c r="C1274" s="3" t="s">
        <v>5882</v>
      </c>
      <c r="D1274" s="3" t="s">
        <v>338</v>
      </c>
      <c r="E1274" s="3" t="s">
        <v>338</v>
      </c>
      <c r="F1274" s="3" t="s">
        <v>5883</v>
      </c>
      <c r="G1274" s="3" t="s">
        <v>5884</v>
      </c>
      <c r="H1274" s="3" t="s">
        <v>5879</v>
      </c>
      <c r="I1274" s="3" t="s">
        <v>5885</v>
      </c>
      <c r="J1274" s="3" t="s">
        <v>1309</v>
      </c>
      <c r="K1274" s="3" t="s">
        <v>82</v>
      </c>
      <c r="L1274" s="3" t="s">
        <v>2841</v>
      </c>
      <c r="M1274" s="3" t="s">
        <v>0</v>
      </c>
      <c r="N1274" s="3" t="s">
        <v>0</v>
      </c>
      <c r="O1274" s="3">
        <v>13</v>
      </c>
      <c r="P1274" s="3">
        <v>15</v>
      </c>
      <c r="Q1274" s="3" t="s">
        <v>60</v>
      </c>
      <c r="R1274" s="3" t="s">
        <v>61</v>
      </c>
      <c r="S1274" s="3">
        <v>7</v>
      </c>
      <c r="T1274" s="3">
        <v>0</v>
      </c>
      <c r="U1274" s="3">
        <v>7</v>
      </c>
      <c r="V1274" s="3">
        <v>7</v>
      </c>
      <c r="W1274" s="3">
        <v>0</v>
      </c>
      <c r="X1274" s="3" t="s">
        <v>147</v>
      </c>
      <c r="Y1274" s="3">
        <v>0</v>
      </c>
      <c r="Z1274" s="3">
        <v>0</v>
      </c>
      <c r="AA1274" s="3">
        <v>0</v>
      </c>
      <c r="AB1274" s="3">
        <v>0</v>
      </c>
      <c r="AC1274" s="3">
        <v>0</v>
      </c>
      <c r="AD1274" s="3">
        <v>0</v>
      </c>
      <c r="AE1274" s="3">
        <v>14</v>
      </c>
      <c r="AF1274" s="3" t="s">
        <v>0</v>
      </c>
      <c r="AG1274" s="3" t="s">
        <v>49</v>
      </c>
    </row>
    <row r="1275" spans="1:33" ht="25.5" x14ac:dyDescent="0.2">
      <c r="A1275" s="4" t="str">
        <f>HYPERLINK("http://www.patentics.cn/invokexml.do?sf=ShowPatent&amp;spn=CN101052205&amp;sv=392bc0fe4b245fb049d60a5a215e0fee","CN101052205")</f>
        <v>CN101052205</v>
      </c>
      <c r="B1275" s="2" t="s">
        <v>5886</v>
      </c>
      <c r="C1275" s="2" t="s">
        <v>5887</v>
      </c>
      <c r="D1275" s="2" t="s">
        <v>38</v>
      </c>
      <c r="E1275" s="2" t="s">
        <v>38</v>
      </c>
      <c r="F1275" s="2" t="s">
        <v>5888</v>
      </c>
      <c r="G1275" s="2" t="s">
        <v>5889</v>
      </c>
      <c r="H1275" s="2" t="s">
        <v>5890</v>
      </c>
      <c r="I1275" s="2" t="s">
        <v>5890</v>
      </c>
      <c r="J1275" s="2" t="s">
        <v>5891</v>
      </c>
      <c r="K1275" s="2" t="s">
        <v>43</v>
      </c>
      <c r="L1275" s="2" t="s">
        <v>2591</v>
      </c>
      <c r="M1275" s="2" t="s">
        <v>43</v>
      </c>
      <c r="N1275" s="2" t="s">
        <v>45</v>
      </c>
      <c r="O1275" s="2">
        <v>4</v>
      </c>
      <c r="P1275" s="2">
        <v>48</v>
      </c>
      <c r="Q1275" s="2" t="s">
        <v>46</v>
      </c>
      <c r="R1275" s="2" t="s">
        <v>47</v>
      </c>
      <c r="S1275" s="2">
        <v>0</v>
      </c>
      <c r="T1275" s="2">
        <v>0</v>
      </c>
      <c r="U1275" s="2">
        <v>0</v>
      </c>
      <c r="V1275" s="2">
        <v>0</v>
      </c>
      <c r="W1275" s="2">
        <v>21</v>
      </c>
      <c r="X1275" s="2" t="s">
        <v>5892</v>
      </c>
      <c r="Y1275" s="2">
        <v>4</v>
      </c>
      <c r="Z1275" s="2">
        <v>17</v>
      </c>
      <c r="AA1275" s="2">
        <v>5</v>
      </c>
      <c r="AB1275" s="2">
        <v>4</v>
      </c>
      <c r="AC1275" s="2">
        <v>1</v>
      </c>
      <c r="AD1275" s="2">
        <v>1</v>
      </c>
      <c r="AE1275" s="2" t="s">
        <v>0</v>
      </c>
      <c r="AF1275" s="2">
        <v>2</v>
      </c>
      <c r="AG1275" s="2" t="s">
        <v>49</v>
      </c>
    </row>
    <row r="1276" spans="1:33" ht="38.25" x14ac:dyDescent="0.2">
      <c r="A1276" s="5" t="str">
        <f>HYPERLINK("http://www.patentics.cn/invokexml.do?sf=ShowPatent&amp;spn=US8625685&amp;sv=75bcb7f3382d4934e23dcf1ef16569d6","US8625685")</f>
        <v>US8625685</v>
      </c>
      <c r="B1276" s="3" t="s">
        <v>5893</v>
      </c>
      <c r="C1276" s="3" t="s">
        <v>5894</v>
      </c>
      <c r="D1276" s="3" t="s">
        <v>52</v>
      </c>
      <c r="E1276" s="3" t="s">
        <v>52</v>
      </c>
      <c r="F1276" s="3" t="s">
        <v>5895</v>
      </c>
      <c r="G1276" s="3" t="s">
        <v>1335</v>
      </c>
      <c r="H1276" s="3" t="s">
        <v>5896</v>
      </c>
      <c r="I1276" s="3" t="s">
        <v>5896</v>
      </c>
      <c r="J1276" s="3" t="s">
        <v>1536</v>
      </c>
      <c r="K1276" s="3" t="s">
        <v>333</v>
      </c>
      <c r="L1276" s="3" t="s">
        <v>334</v>
      </c>
      <c r="M1276" s="3" t="s">
        <v>58</v>
      </c>
      <c r="N1276" s="3" t="s">
        <v>5897</v>
      </c>
      <c r="O1276" s="3">
        <v>0</v>
      </c>
      <c r="P1276" s="3">
        <v>23</v>
      </c>
      <c r="Q1276" s="3" t="s">
        <v>60</v>
      </c>
      <c r="R1276" s="3" t="s">
        <v>61</v>
      </c>
      <c r="S1276" s="3">
        <v>18</v>
      </c>
      <c r="T1276" s="3">
        <v>0</v>
      </c>
      <c r="U1276" s="3">
        <v>18</v>
      </c>
      <c r="V1276" s="3">
        <v>10</v>
      </c>
      <c r="W1276" s="3">
        <v>0</v>
      </c>
      <c r="X1276" s="3" t="s">
        <v>147</v>
      </c>
      <c r="Y1276" s="3">
        <v>0</v>
      </c>
      <c r="Z1276" s="3">
        <v>0</v>
      </c>
      <c r="AA1276" s="3">
        <v>0</v>
      </c>
      <c r="AB1276" s="3">
        <v>0</v>
      </c>
      <c r="AC1276" s="3">
        <v>14</v>
      </c>
      <c r="AD1276" s="3">
        <v>9</v>
      </c>
      <c r="AE1276" s="3">
        <v>14</v>
      </c>
      <c r="AF1276" s="3" t="s">
        <v>0</v>
      </c>
      <c r="AG1276" s="3" t="s">
        <v>49</v>
      </c>
    </row>
    <row r="1277" spans="1:33" ht="25.5" x14ac:dyDescent="0.2">
      <c r="A1277" s="5" t="str">
        <f>HYPERLINK("http://www.patentics.cn/invokexml.do?sf=ShowPatent&amp;spn=CN101946432B&amp;sv=730706873e126953c46a02e096dd1511","CN101946432B")</f>
        <v>CN101946432B</v>
      </c>
      <c r="B1277" s="3" t="s">
        <v>5898</v>
      </c>
      <c r="C1277" s="3" t="s">
        <v>5899</v>
      </c>
      <c r="D1277" s="3" t="s">
        <v>338</v>
      </c>
      <c r="E1277" s="3" t="s">
        <v>338</v>
      </c>
      <c r="F1277" s="3" t="s">
        <v>5900</v>
      </c>
      <c r="G1277" s="3" t="s">
        <v>5901</v>
      </c>
      <c r="H1277" s="3" t="s">
        <v>5896</v>
      </c>
      <c r="I1277" s="3" t="s">
        <v>456</v>
      </c>
      <c r="J1277" s="3" t="s">
        <v>5902</v>
      </c>
      <c r="K1277" s="3" t="s">
        <v>58</v>
      </c>
      <c r="L1277" s="3" t="s">
        <v>326</v>
      </c>
      <c r="M1277" s="3" t="s">
        <v>0</v>
      </c>
      <c r="N1277" s="3" t="s">
        <v>0</v>
      </c>
      <c r="O1277" s="3">
        <v>25</v>
      </c>
      <c r="P1277" s="3">
        <v>21</v>
      </c>
      <c r="Q1277" s="3" t="s">
        <v>60</v>
      </c>
      <c r="R1277" s="3" t="s">
        <v>61</v>
      </c>
      <c r="S1277" s="3">
        <v>3</v>
      </c>
      <c r="T1277" s="3">
        <v>0</v>
      </c>
      <c r="U1277" s="3">
        <v>3</v>
      </c>
      <c r="V1277" s="3">
        <v>3</v>
      </c>
      <c r="W1277" s="3">
        <v>0</v>
      </c>
      <c r="X1277" s="3" t="s">
        <v>147</v>
      </c>
      <c r="Y1277" s="3">
        <v>0</v>
      </c>
      <c r="Z1277" s="3">
        <v>0</v>
      </c>
      <c r="AA1277" s="3">
        <v>0</v>
      </c>
      <c r="AB1277" s="3">
        <v>0</v>
      </c>
      <c r="AC1277" s="3">
        <v>14</v>
      </c>
      <c r="AD1277" s="3">
        <v>9</v>
      </c>
      <c r="AE1277" s="3">
        <v>14</v>
      </c>
      <c r="AF1277" s="3" t="s">
        <v>0</v>
      </c>
      <c r="AG1277" s="3" t="s">
        <v>755</v>
      </c>
    </row>
    <row r="1278" spans="1:33" ht="38.25" x14ac:dyDescent="0.2">
      <c r="A1278" s="4" t="str">
        <f>HYPERLINK("http://www.patentics.cn/invokexml.do?sf=ShowPatent&amp;spn=CN101018074&amp;sv=61c6357105c9de44e6bbde0aad54c6cd","CN101018074")</f>
        <v>CN101018074</v>
      </c>
      <c r="B1278" s="2" t="s">
        <v>5903</v>
      </c>
      <c r="C1278" s="2" t="s">
        <v>5904</v>
      </c>
      <c r="D1278" s="2" t="s">
        <v>38</v>
      </c>
      <c r="E1278" s="2" t="s">
        <v>38</v>
      </c>
      <c r="F1278" s="2" t="s">
        <v>5905</v>
      </c>
      <c r="G1278" s="2" t="s">
        <v>5906</v>
      </c>
      <c r="H1278" s="2" t="s">
        <v>5907</v>
      </c>
      <c r="I1278" s="2" t="s">
        <v>5907</v>
      </c>
      <c r="J1278" s="2" t="s">
        <v>4925</v>
      </c>
      <c r="K1278" s="2" t="s">
        <v>84</v>
      </c>
      <c r="L1278" s="2" t="s">
        <v>1300</v>
      </c>
      <c r="M1278" s="2" t="s">
        <v>58</v>
      </c>
      <c r="N1278" s="2" t="s">
        <v>530</v>
      </c>
      <c r="O1278" s="2">
        <v>8</v>
      </c>
      <c r="P1278" s="2">
        <v>10</v>
      </c>
      <c r="Q1278" s="2" t="s">
        <v>46</v>
      </c>
      <c r="R1278" s="2" t="s">
        <v>47</v>
      </c>
      <c r="S1278" s="2">
        <v>0</v>
      </c>
      <c r="T1278" s="2">
        <v>0</v>
      </c>
      <c r="U1278" s="2">
        <v>0</v>
      </c>
      <c r="V1278" s="2">
        <v>0</v>
      </c>
      <c r="W1278" s="2">
        <v>5</v>
      </c>
      <c r="X1278" s="2" t="s">
        <v>5908</v>
      </c>
      <c r="Y1278" s="2">
        <v>0</v>
      </c>
      <c r="Z1278" s="2">
        <v>5</v>
      </c>
      <c r="AA1278" s="2">
        <v>2</v>
      </c>
      <c r="AB1278" s="2">
        <v>3</v>
      </c>
      <c r="AC1278" s="2">
        <v>1</v>
      </c>
      <c r="AD1278" s="2">
        <v>1</v>
      </c>
      <c r="AE1278" s="2" t="s">
        <v>0</v>
      </c>
      <c r="AF1278" s="2">
        <v>2</v>
      </c>
      <c r="AG1278" s="2" t="s">
        <v>755</v>
      </c>
    </row>
    <row r="1279" spans="1:33" ht="102" x14ac:dyDescent="0.2">
      <c r="A1279" s="5" t="str">
        <f>HYPERLINK("http://www.patentics.cn/invokexml.do?sf=ShowPatent&amp;spn=US8995590&amp;sv=78519acb85796e6946f6fa20aebff1f2","US8995590")</f>
        <v>US8995590</v>
      </c>
      <c r="B1279" s="3" t="s">
        <v>5909</v>
      </c>
      <c r="C1279" s="3" t="s">
        <v>5910</v>
      </c>
      <c r="D1279" s="3" t="s">
        <v>52</v>
      </c>
      <c r="E1279" s="3" t="s">
        <v>52</v>
      </c>
      <c r="F1279" s="3" t="s">
        <v>5911</v>
      </c>
      <c r="G1279" s="3" t="s">
        <v>5912</v>
      </c>
      <c r="H1279" s="3" t="s">
        <v>5702</v>
      </c>
      <c r="I1279" s="3" t="s">
        <v>4615</v>
      </c>
      <c r="J1279" s="3" t="s">
        <v>3023</v>
      </c>
      <c r="K1279" s="3" t="s">
        <v>58</v>
      </c>
      <c r="L1279" s="3" t="s">
        <v>3311</v>
      </c>
      <c r="M1279" s="3" t="s">
        <v>58</v>
      </c>
      <c r="N1279" s="3" t="s">
        <v>5913</v>
      </c>
      <c r="O1279" s="3">
        <v>0</v>
      </c>
      <c r="P1279" s="3">
        <v>31</v>
      </c>
      <c r="Q1279" s="3" t="s">
        <v>60</v>
      </c>
      <c r="R1279" s="3" t="s">
        <v>61</v>
      </c>
      <c r="S1279" s="3">
        <v>19</v>
      </c>
      <c r="T1279" s="3">
        <v>2</v>
      </c>
      <c r="U1279" s="3">
        <v>17</v>
      </c>
      <c r="V1279" s="3">
        <v>10</v>
      </c>
      <c r="W1279" s="3">
        <v>0</v>
      </c>
      <c r="X1279" s="3" t="s">
        <v>147</v>
      </c>
      <c r="Y1279" s="3">
        <v>0</v>
      </c>
      <c r="Z1279" s="3">
        <v>0</v>
      </c>
      <c r="AA1279" s="3">
        <v>0</v>
      </c>
      <c r="AB1279" s="3">
        <v>0</v>
      </c>
      <c r="AC1279" s="3">
        <v>12</v>
      </c>
      <c r="AD1279" s="3">
        <v>7</v>
      </c>
      <c r="AE1279" s="3">
        <v>14</v>
      </c>
      <c r="AF1279" s="3" t="s">
        <v>0</v>
      </c>
      <c r="AG1279" s="3" t="s">
        <v>49</v>
      </c>
    </row>
    <row r="1280" spans="1:33" ht="51" x14ac:dyDescent="0.2">
      <c r="A1280" s="5" t="str">
        <f>HYPERLINK("http://www.patentics.cn/invokexml.do?sf=ShowPatent&amp;spn=CN101960805B&amp;sv=13f6e7973834372c0109b313e50dafbd","CN101960805B")</f>
        <v>CN101960805B</v>
      </c>
      <c r="B1280" s="3" t="s">
        <v>5914</v>
      </c>
      <c r="C1280" s="3" t="s">
        <v>5915</v>
      </c>
      <c r="D1280" s="3" t="s">
        <v>338</v>
      </c>
      <c r="E1280" s="3" t="s">
        <v>338</v>
      </c>
      <c r="F1280" s="3" t="s">
        <v>5916</v>
      </c>
      <c r="G1280" s="3" t="s">
        <v>5917</v>
      </c>
      <c r="H1280" s="3" t="s">
        <v>5702</v>
      </c>
      <c r="I1280" s="3" t="s">
        <v>5918</v>
      </c>
      <c r="J1280" s="3" t="s">
        <v>5919</v>
      </c>
      <c r="K1280" s="3" t="s">
        <v>58</v>
      </c>
      <c r="L1280" s="3" t="s">
        <v>3325</v>
      </c>
      <c r="M1280" s="3" t="s">
        <v>0</v>
      </c>
      <c r="N1280" s="3" t="s">
        <v>0</v>
      </c>
      <c r="O1280" s="3">
        <v>12</v>
      </c>
      <c r="P1280" s="3">
        <v>24</v>
      </c>
      <c r="Q1280" s="3" t="s">
        <v>60</v>
      </c>
      <c r="R1280" s="3" t="s">
        <v>61</v>
      </c>
      <c r="S1280" s="3">
        <v>4</v>
      </c>
      <c r="T1280" s="3">
        <v>1</v>
      </c>
      <c r="U1280" s="3">
        <v>3</v>
      </c>
      <c r="V1280" s="3">
        <v>4</v>
      </c>
      <c r="W1280" s="3">
        <v>0</v>
      </c>
      <c r="X1280" s="3" t="s">
        <v>147</v>
      </c>
      <c r="Y1280" s="3">
        <v>0</v>
      </c>
      <c r="Z1280" s="3">
        <v>0</v>
      </c>
      <c r="AA1280" s="3">
        <v>0</v>
      </c>
      <c r="AB1280" s="3">
        <v>0</v>
      </c>
      <c r="AC1280" s="3">
        <v>12</v>
      </c>
      <c r="AD1280" s="3">
        <v>7</v>
      </c>
      <c r="AE1280" s="3">
        <v>14</v>
      </c>
      <c r="AF1280" s="3" t="s">
        <v>0</v>
      </c>
      <c r="AG1280" s="3" t="s">
        <v>49</v>
      </c>
    </row>
    <row r="1281" spans="1:33" x14ac:dyDescent="0.2">
      <c r="A1281" s="4" t="str">
        <f>HYPERLINK("http://www.patentics.cn/invokexml.do?sf=ShowPatent&amp;spn=CN101009536&amp;sv=0443b3617852e207a13e6c13d014898e","CN101009536")</f>
        <v>CN101009536</v>
      </c>
      <c r="B1281" s="2" t="s">
        <v>5920</v>
      </c>
      <c r="C1281" s="2" t="s">
        <v>5921</v>
      </c>
      <c r="D1281" s="2" t="s">
        <v>38</v>
      </c>
      <c r="E1281" s="2" t="s">
        <v>38</v>
      </c>
      <c r="F1281" s="2" t="s">
        <v>2519</v>
      </c>
      <c r="G1281" s="2" t="s">
        <v>2519</v>
      </c>
      <c r="H1281" s="2" t="s">
        <v>5922</v>
      </c>
      <c r="I1281" s="2" t="s">
        <v>5922</v>
      </c>
      <c r="J1281" s="2" t="s">
        <v>3565</v>
      </c>
      <c r="K1281" s="2" t="s">
        <v>58</v>
      </c>
      <c r="L1281" s="2" t="s">
        <v>1980</v>
      </c>
      <c r="M1281" s="2" t="s">
        <v>58</v>
      </c>
      <c r="N1281" s="2" t="s">
        <v>1785</v>
      </c>
      <c r="O1281" s="2">
        <v>14</v>
      </c>
      <c r="P1281" s="2">
        <v>25</v>
      </c>
      <c r="Q1281" s="2" t="s">
        <v>46</v>
      </c>
      <c r="R1281" s="2" t="s">
        <v>47</v>
      </c>
      <c r="S1281" s="2">
        <v>0</v>
      </c>
      <c r="T1281" s="2">
        <v>0</v>
      </c>
      <c r="U1281" s="2">
        <v>0</v>
      </c>
      <c r="V1281" s="2">
        <v>0</v>
      </c>
      <c r="W1281" s="2">
        <v>8</v>
      </c>
      <c r="X1281" s="2" t="s">
        <v>5874</v>
      </c>
      <c r="Y1281" s="2">
        <v>4</v>
      </c>
      <c r="Z1281" s="2">
        <v>4</v>
      </c>
      <c r="AA1281" s="2">
        <v>4</v>
      </c>
      <c r="AB1281" s="2">
        <v>3</v>
      </c>
      <c r="AC1281" s="2">
        <v>1</v>
      </c>
      <c r="AD1281" s="2">
        <v>1</v>
      </c>
      <c r="AE1281" s="2" t="s">
        <v>0</v>
      </c>
      <c r="AF1281" s="2">
        <v>2</v>
      </c>
      <c r="AG1281" s="2" t="s">
        <v>755</v>
      </c>
    </row>
    <row r="1282" spans="1:33" ht="25.5" x14ac:dyDescent="0.2">
      <c r="A1282" s="5" t="str">
        <f>HYPERLINK("http://www.patentics.cn/invokexml.do?sf=ShowPatent&amp;spn=US8422480&amp;sv=6d3a50e6f9e759f283c37eb0ca42deeb","US8422480")</f>
        <v>US8422480</v>
      </c>
      <c r="B1282" s="3" t="s">
        <v>5923</v>
      </c>
      <c r="C1282" s="3" t="s">
        <v>5924</v>
      </c>
      <c r="D1282" s="3" t="s">
        <v>52</v>
      </c>
      <c r="E1282" s="3" t="s">
        <v>52</v>
      </c>
      <c r="F1282" s="3" t="s">
        <v>2527</v>
      </c>
      <c r="G1282" s="3" t="s">
        <v>2527</v>
      </c>
      <c r="H1282" s="3" t="s">
        <v>3972</v>
      </c>
      <c r="I1282" s="3" t="s">
        <v>3984</v>
      </c>
      <c r="J1282" s="3" t="s">
        <v>5925</v>
      </c>
      <c r="K1282" s="3" t="s">
        <v>70</v>
      </c>
      <c r="L1282" s="3" t="s">
        <v>2535</v>
      </c>
      <c r="M1282" s="3" t="s">
        <v>58</v>
      </c>
      <c r="N1282" s="3" t="s">
        <v>5926</v>
      </c>
      <c r="O1282" s="3">
        <v>0</v>
      </c>
      <c r="P1282" s="3">
        <v>15</v>
      </c>
      <c r="Q1282" s="3" t="s">
        <v>60</v>
      </c>
      <c r="R1282" s="3" t="s">
        <v>61</v>
      </c>
      <c r="S1282" s="3">
        <v>25</v>
      </c>
      <c r="T1282" s="3">
        <v>1</v>
      </c>
      <c r="U1282" s="3">
        <v>24</v>
      </c>
      <c r="V1282" s="3">
        <v>18</v>
      </c>
      <c r="W1282" s="3">
        <v>3</v>
      </c>
      <c r="X1282" s="3" t="s">
        <v>5322</v>
      </c>
      <c r="Y1282" s="3">
        <v>2</v>
      </c>
      <c r="Z1282" s="3">
        <v>1</v>
      </c>
      <c r="AA1282" s="3">
        <v>2</v>
      </c>
      <c r="AB1282" s="3">
        <v>1</v>
      </c>
      <c r="AC1282" s="3">
        <v>8</v>
      </c>
      <c r="AD1282" s="3">
        <v>7</v>
      </c>
      <c r="AE1282" s="3">
        <v>14</v>
      </c>
      <c r="AF1282" s="3" t="s">
        <v>0</v>
      </c>
      <c r="AG1282" s="3" t="s">
        <v>49</v>
      </c>
    </row>
    <row r="1283" spans="1:33" ht="51" x14ac:dyDescent="0.2">
      <c r="A1283" s="5" t="str">
        <f>HYPERLINK("http://www.patentics.cn/invokexml.do?sf=ShowPatent&amp;spn=US9275644&amp;sv=cdaf55b86c2f99179333c36b071ea889","US9275644")</f>
        <v>US9275644</v>
      </c>
      <c r="B1283" s="3" t="s">
        <v>5927</v>
      </c>
      <c r="C1283" s="3" t="s">
        <v>5928</v>
      </c>
      <c r="D1283" s="3" t="s">
        <v>52</v>
      </c>
      <c r="E1283" s="3" t="s">
        <v>52</v>
      </c>
      <c r="F1283" s="3" t="s">
        <v>5929</v>
      </c>
      <c r="G1283" s="3" t="s">
        <v>5930</v>
      </c>
      <c r="H1283" s="3" t="s">
        <v>5931</v>
      </c>
      <c r="I1283" s="3" t="s">
        <v>3162</v>
      </c>
      <c r="J1283" s="3" t="s">
        <v>965</v>
      </c>
      <c r="K1283" s="3" t="s">
        <v>5442</v>
      </c>
      <c r="L1283" s="3" t="s">
        <v>5932</v>
      </c>
      <c r="M1283" s="3" t="s">
        <v>5442</v>
      </c>
      <c r="N1283" s="3" t="s">
        <v>5933</v>
      </c>
      <c r="O1283" s="3">
        <v>0</v>
      </c>
      <c r="P1283" s="3">
        <v>9</v>
      </c>
      <c r="Q1283" s="3" t="s">
        <v>60</v>
      </c>
      <c r="R1283" s="3" t="s">
        <v>61</v>
      </c>
      <c r="S1283" s="3">
        <v>43</v>
      </c>
      <c r="T1283" s="3">
        <v>4</v>
      </c>
      <c r="U1283" s="3">
        <v>39</v>
      </c>
      <c r="V1283" s="3">
        <v>22</v>
      </c>
      <c r="W1283" s="3">
        <v>2</v>
      </c>
      <c r="X1283" s="3" t="s">
        <v>147</v>
      </c>
      <c r="Y1283" s="3">
        <v>0</v>
      </c>
      <c r="Z1283" s="3">
        <v>2</v>
      </c>
      <c r="AA1283" s="3">
        <v>0</v>
      </c>
      <c r="AB1283" s="3">
        <v>1</v>
      </c>
      <c r="AC1283" s="3">
        <v>7</v>
      </c>
      <c r="AD1283" s="3">
        <v>7</v>
      </c>
      <c r="AE1283" s="3">
        <v>14</v>
      </c>
      <c r="AF1283" s="3" t="s">
        <v>0</v>
      </c>
      <c r="AG1283" s="3" t="s">
        <v>49</v>
      </c>
    </row>
    <row r="1284" spans="1:33" x14ac:dyDescent="0.2">
      <c r="A1284" s="4" t="str">
        <f>HYPERLINK("http://www.patentics.cn/invokexml.do?sf=ShowPatent&amp;spn=CN1863374&amp;sv=d41b0329b4b4f962c7a3e20201fc8a07","CN1863374")</f>
        <v>CN1863374</v>
      </c>
      <c r="B1284" s="2" t="s">
        <v>5934</v>
      </c>
      <c r="C1284" s="2" t="s">
        <v>5935</v>
      </c>
      <c r="D1284" s="2" t="s">
        <v>38</v>
      </c>
      <c r="E1284" s="2" t="s">
        <v>38</v>
      </c>
      <c r="F1284" s="2" t="s">
        <v>5936</v>
      </c>
      <c r="G1284" s="2" t="s">
        <v>5936</v>
      </c>
      <c r="H1284" s="2" t="s">
        <v>5937</v>
      </c>
      <c r="I1284" s="2" t="s">
        <v>5937</v>
      </c>
      <c r="J1284" s="2" t="s">
        <v>5938</v>
      </c>
      <c r="K1284" s="2" t="s">
        <v>43</v>
      </c>
      <c r="L1284" s="2" t="s">
        <v>2591</v>
      </c>
      <c r="M1284" s="2" t="s">
        <v>43</v>
      </c>
      <c r="N1284" s="2" t="s">
        <v>5939</v>
      </c>
      <c r="O1284" s="2">
        <v>10</v>
      </c>
      <c r="P1284" s="2">
        <v>19</v>
      </c>
      <c r="Q1284" s="2" t="s">
        <v>46</v>
      </c>
      <c r="R1284" s="2" t="s">
        <v>47</v>
      </c>
      <c r="S1284" s="2">
        <v>0</v>
      </c>
      <c r="T1284" s="2">
        <v>0</v>
      </c>
      <c r="U1284" s="2">
        <v>0</v>
      </c>
      <c r="V1284" s="2">
        <v>0</v>
      </c>
      <c r="W1284" s="2">
        <v>2</v>
      </c>
      <c r="X1284" s="2" t="s">
        <v>1929</v>
      </c>
      <c r="Y1284" s="2">
        <v>0</v>
      </c>
      <c r="Z1284" s="2">
        <v>2</v>
      </c>
      <c r="AA1284" s="2">
        <v>1</v>
      </c>
      <c r="AB1284" s="2">
        <v>2</v>
      </c>
      <c r="AC1284" s="2">
        <v>1</v>
      </c>
      <c r="AD1284" s="2">
        <v>1</v>
      </c>
      <c r="AE1284" s="2" t="s">
        <v>0</v>
      </c>
      <c r="AF1284" s="2">
        <v>2</v>
      </c>
      <c r="AG1284" s="2" t="s">
        <v>49</v>
      </c>
    </row>
    <row r="1285" spans="1:33" ht="89.25" x14ac:dyDescent="0.2">
      <c r="A1285" s="5" t="str">
        <f>HYPERLINK("http://www.patentics.cn/invokexml.do?sf=ShowPatent&amp;spn=US8817697&amp;sv=103b5622b96a38e9d3669f12c736a98b","US8817697")</f>
        <v>US8817697</v>
      </c>
      <c r="B1285" s="3" t="s">
        <v>5940</v>
      </c>
      <c r="C1285" s="3" t="s">
        <v>5941</v>
      </c>
      <c r="D1285" s="3" t="s">
        <v>52</v>
      </c>
      <c r="E1285" s="3" t="s">
        <v>52</v>
      </c>
      <c r="F1285" s="3" t="s">
        <v>5942</v>
      </c>
      <c r="G1285" s="3" t="s">
        <v>5943</v>
      </c>
      <c r="H1285" s="3" t="s">
        <v>5944</v>
      </c>
      <c r="I1285" s="3" t="s">
        <v>5944</v>
      </c>
      <c r="J1285" s="3" t="s">
        <v>1453</v>
      </c>
      <c r="K1285" s="3" t="s">
        <v>82</v>
      </c>
      <c r="L1285" s="3" t="s">
        <v>83</v>
      </c>
      <c r="M1285" s="3" t="s">
        <v>82</v>
      </c>
      <c r="N1285" s="3" t="s">
        <v>3997</v>
      </c>
      <c r="O1285" s="3">
        <v>0</v>
      </c>
      <c r="P1285" s="3">
        <v>17</v>
      </c>
      <c r="Q1285" s="3" t="s">
        <v>60</v>
      </c>
      <c r="R1285" s="3" t="s">
        <v>61</v>
      </c>
      <c r="S1285" s="3">
        <v>28</v>
      </c>
      <c r="T1285" s="3">
        <v>5</v>
      </c>
      <c r="U1285" s="3">
        <v>23</v>
      </c>
      <c r="V1285" s="3">
        <v>14</v>
      </c>
      <c r="W1285" s="3">
        <v>0</v>
      </c>
      <c r="X1285" s="3" t="s">
        <v>147</v>
      </c>
      <c r="Y1285" s="3">
        <v>0</v>
      </c>
      <c r="Z1285" s="3">
        <v>0</v>
      </c>
      <c r="AA1285" s="3">
        <v>0</v>
      </c>
      <c r="AB1285" s="3">
        <v>0</v>
      </c>
      <c r="AC1285" s="3">
        <v>13</v>
      </c>
      <c r="AD1285" s="3">
        <v>8</v>
      </c>
      <c r="AE1285" s="3">
        <v>14</v>
      </c>
      <c r="AF1285" s="3" t="s">
        <v>0</v>
      </c>
      <c r="AG1285" s="3" t="s">
        <v>49</v>
      </c>
    </row>
    <row r="1286" spans="1:33" ht="76.5" x14ac:dyDescent="0.2">
      <c r="A1286" s="5" t="str">
        <f>HYPERLINK("http://www.patentics.cn/invokexml.do?sf=ShowPatent&amp;spn=CN102057696B&amp;sv=a94a33afc143cbee0fd151137dab7bfb","CN102057696B")</f>
        <v>CN102057696B</v>
      </c>
      <c r="B1286" s="3" t="s">
        <v>5945</v>
      </c>
      <c r="C1286" s="3" t="s">
        <v>5946</v>
      </c>
      <c r="D1286" s="3" t="s">
        <v>338</v>
      </c>
      <c r="E1286" s="3" t="s">
        <v>338</v>
      </c>
      <c r="F1286" s="3" t="s">
        <v>5947</v>
      </c>
      <c r="G1286" s="3" t="s">
        <v>5948</v>
      </c>
      <c r="H1286" s="3" t="s">
        <v>5944</v>
      </c>
      <c r="I1286" s="3" t="s">
        <v>3671</v>
      </c>
      <c r="J1286" s="3" t="s">
        <v>3788</v>
      </c>
      <c r="K1286" s="3" t="s">
        <v>82</v>
      </c>
      <c r="L1286" s="3" t="s">
        <v>1767</v>
      </c>
      <c r="M1286" s="3" t="s">
        <v>0</v>
      </c>
      <c r="N1286" s="3" t="s">
        <v>0</v>
      </c>
      <c r="O1286" s="3">
        <v>35</v>
      </c>
      <c r="P1286" s="3">
        <v>14</v>
      </c>
      <c r="Q1286" s="3" t="s">
        <v>60</v>
      </c>
      <c r="R1286" s="3" t="s">
        <v>61</v>
      </c>
      <c r="S1286" s="3">
        <v>3</v>
      </c>
      <c r="T1286" s="3">
        <v>0</v>
      </c>
      <c r="U1286" s="3">
        <v>3</v>
      </c>
      <c r="V1286" s="3">
        <v>3</v>
      </c>
      <c r="W1286" s="3">
        <v>0</v>
      </c>
      <c r="X1286" s="3" t="s">
        <v>147</v>
      </c>
      <c r="Y1286" s="3">
        <v>0</v>
      </c>
      <c r="Z1286" s="3">
        <v>0</v>
      </c>
      <c r="AA1286" s="3">
        <v>0</v>
      </c>
      <c r="AB1286" s="3">
        <v>0</v>
      </c>
      <c r="AC1286" s="3">
        <v>13</v>
      </c>
      <c r="AD1286" s="3">
        <v>8</v>
      </c>
      <c r="AE1286" s="3">
        <v>14</v>
      </c>
      <c r="AF1286" s="3" t="s">
        <v>0</v>
      </c>
      <c r="AG1286" s="3" t="s">
        <v>49</v>
      </c>
    </row>
    <row r="1287" spans="1:33" ht="25.5" x14ac:dyDescent="0.2">
      <c r="A1287" s="4" t="str">
        <f>HYPERLINK("http://www.patentics.cn/invokexml.do?sf=ShowPatent&amp;spn=CN1747474&amp;sv=7a4e48951e0ec020fd8b0f473aa77d6e","CN1747474")</f>
        <v>CN1747474</v>
      </c>
      <c r="B1287" s="2" t="s">
        <v>5949</v>
      </c>
      <c r="C1287" s="2" t="s">
        <v>5950</v>
      </c>
      <c r="D1287" s="2" t="s">
        <v>38</v>
      </c>
      <c r="E1287" s="2" t="s">
        <v>38</v>
      </c>
      <c r="F1287" s="2" t="s">
        <v>5951</v>
      </c>
      <c r="G1287" s="2" t="s">
        <v>5951</v>
      </c>
      <c r="H1287" s="2" t="s">
        <v>5952</v>
      </c>
      <c r="I1287" s="2" t="s">
        <v>5952</v>
      </c>
      <c r="J1287" s="2" t="s">
        <v>5953</v>
      </c>
      <c r="K1287" s="2" t="s">
        <v>58</v>
      </c>
      <c r="L1287" s="2" t="s">
        <v>722</v>
      </c>
      <c r="M1287" s="2" t="s">
        <v>58</v>
      </c>
      <c r="N1287" s="2" t="s">
        <v>1785</v>
      </c>
      <c r="O1287" s="2">
        <v>9</v>
      </c>
      <c r="P1287" s="2">
        <v>47</v>
      </c>
      <c r="Q1287" s="2" t="s">
        <v>46</v>
      </c>
      <c r="R1287" s="2" t="s">
        <v>47</v>
      </c>
      <c r="S1287" s="2">
        <v>0</v>
      </c>
      <c r="T1287" s="2">
        <v>0</v>
      </c>
      <c r="U1287" s="2">
        <v>0</v>
      </c>
      <c r="V1287" s="2">
        <v>0</v>
      </c>
      <c r="W1287" s="2">
        <v>8</v>
      </c>
      <c r="X1287" s="2" t="s">
        <v>5954</v>
      </c>
      <c r="Y1287" s="2">
        <v>1</v>
      </c>
      <c r="Z1287" s="2">
        <v>7</v>
      </c>
      <c r="AA1287" s="2">
        <v>6</v>
      </c>
      <c r="AB1287" s="2">
        <v>2</v>
      </c>
      <c r="AC1287" s="2">
        <v>1</v>
      </c>
      <c r="AD1287" s="2">
        <v>1</v>
      </c>
      <c r="AE1287" s="2" t="s">
        <v>0</v>
      </c>
      <c r="AF1287" s="2">
        <v>2</v>
      </c>
      <c r="AG1287" s="2" t="s">
        <v>49</v>
      </c>
    </row>
    <row r="1288" spans="1:33" ht="102" x14ac:dyDescent="0.2">
      <c r="A1288" s="5" t="str">
        <f>HYPERLINK("http://www.patentics.cn/invokexml.do?sf=ShowPatent&amp;spn=US9450711&amp;sv=b13675da7515ca7c2a5a988b042c8fca","US9450711")</f>
        <v>US9450711</v>
      </c>
      <c r="B1288" s="3" t="s">
        <v>5955</v>
      </c>
      <c r="C1288" s="3" t="s">
        <v>5956</v>
      </c>
      <c r="D1288" s="3" t="s">
        <v>52</v>
      </c>
      <c r="E1288" s="3" t="s">
        <v>52</v>
      </c>
      <c r="F1288" s="3" t="s">
        <v>5957</v>
      </c>
      <c r="G1288" s="3" t="s">
        <v>5958</v>
      </c>
      <c r="H1288" s="3" t="s">
        <v>0</v>
      </c>
      <c r="I1288" s="3" t="s">
        <v>5959</v>
      </c>
      <c r="J1288" s="3" t="s">
        <v>848</v>
      </c>
      <c r="K1288" s="3" t="s">
        <v>82</v>
      </c>
      <c r="L1288" s="3" t="s">
        <v>5960</v>
      </c>
      <c r="M1288" s="3" t="s">
        <v>58</v>
      </c>
      <c r="N1288" s="3" t="s">
        <v>4763</v>
      </c>
      <c r="O1288" s="3">
        <v>0</v>
      </c>
      <c r="P1288" s="3">
        <v>8</v>
      </c>
      <c r="Q1288" s="3" t="s">
        <v>60</v>
      </c>
      <c r="R1288" s="3" t="s">
        <v>61</v>
      </c>
      <c r="S1288" s="3">
        <v>53</v>
      </c>
      <c r="T1288" s="3">
        <v>5</v>
      </c>
      <c r="U1288" s="3">
        <v>48</v>
      </c>
      <c r="V1288" s="3">
        <v>21</v>
      </c>
      <c r="W1288" s="3">
        <v>0</v>
      </c>
      <c r="X1288" s="3" t="s">
        <v>147</v>
      </c>
      <c r="Y1288" s="3">
        <v>0</v>
      </c>
      <c r="Z1288" s="3">
        <v>0</v>
      </c>
      <c r="AA1288" s="3">
        <v>0</v>
      </c>
      <c r="AB1288" s="3">
        <v>0</v>
      </c>
      <c r="AC1288" s="3">
        <v>0</v>
      </c>
      <c r="AD1288" s="3">
        <v>0</v>
      </c>
      <c r="AE1288" s="3">
        <v>14</v>
      </c>
      <c r="AF1288" s="3" t="s">
        <v>0</v>
      </c>
      <c r="AG1288" s="3" t="s">
        <v>49</v>
      </c>
    </row>
    <row r="1289" spans="1:33" ht="114.75" x14ac:dyDescent="0.2">
      <c r="A1289" s="5" t="str">
        <f>HYPERLINK("http://www.patentics.cn/invokexml.do?sf=ShowPatent&amp;spn=CN102396277B&amp;sv=31e408f94e82665ca7a7e47b0357aaaf","CN102396277B")</f>
        <v>CN102396277B</v>
      </c>
      <c r="B1289" s="3" t="s">
        <v>5961</v>
      </c>
      <c r="C1289" s="3" t="s">
        <v>5962</v>
      </c>
      <c r="D1289" s="3" t="s">
        <v>338</v>
      </c>
      <c r="E1289" s="3" t="s">
        <v>338</v>
      </c>
      <c r="F1289" s="3" t="s">
        <v>5963</v>
      </c>
      <c r="G1289" s="3" t="s">
        <v>3983</v>
      </c>
      <c r="H1289" s="3" t="s">
        <v>3794</v>
      </c>
      <c r="I1289" s="3" t="s">
        <v>2934</v>
      </c>
      <c r="J1289" s="3" t="s">
        <v>5508</v>
      </c>
      <c r="K1289" s="3" t="s">
        <v>82</v>
      </c>
      <c r="L1289" s="3" t="s">
        <v>244</v>
      </c>
      <c r="M1289" s="3" t="s">
        <v>0</v>
      </c>
      <c r="N1289" s="3" t="s">
        <v>0</v>
      </c>
      <c r="O1289" s="3">
        <v>31</v>
      </c>
      <c r="P1289" s="3">
        <v>20</v>
      </c>
      <c r="Q1289" s="3" t="s">
        <v>60</v>
      </c>
      <c r="R1289" s="3" t="s">
        <v>61</v>
      </c>
      <c r="S1289" s="3">
        <v>1</v>
      </c>
      <c r="T1289" s="3">
        <v>0</v>
      </c>
      <c r="U1289" s="3">
        <v>1</v>
      </c>
      <c r="V1289" s="3">
        <v>1</v>
      </c>
      <c r="W1289" s="3">
        <v>12</v>
      </c>
      <c r="X1289" s="3" t="s">
        <v>147</v>
      </c>
      <c r="Y1289" s="3">
        <v>0</v>
      </c>
      <c r="Z1289" s="3">
        <v>12</v>
      </c>
      <c r="AA1289" s="3">
        <v>0</v>
      </c>
      <c r="AB1289" s="3">
        <v>1</v>
      </c>
      <c r="AC1289" s="3">
        <v>10</v>
      </c>
      <c r="AD1289" s="3">
        <v>7</v>
      </c>
      <c r="AE1289" s="3">
        <v>14</v>
      </c>
      <c r="AF1289" s="3" t="s">
        <v>0</v>
      </c>
      <c r="AG1289" s="3" t="s">
        <v>49</v>
      </c>
    </row>
    <row r="1290" spans="1:33" ht="25.5" x14ac:dyDescent="0.2">
      <c r="A1290" s="4" t="str">
        <f>HYPERLINK("http://www.patentics.cn/invokexml.do?sf=ShowPatent&amp;spn=CN1731888&amp;sv=023fd59ac236d012d906baced3c9b72b","CN1731888")</f>
        <v>CN1731888</v>
      </c>
      <c r="B1290" s="2" t="s">
        <v>5964</v>
      </c>
      <c r="C1290" s="2" t="s">
        <v>5965</v>
      </c>
      <c r="D1290" s="2" t="s">
        <v>38</v>
      </c>
      <c r="E1290" s="2" t="s">
        <v>38</v>
      </c>
      <c r="F1290" s="2" t="s">
        <v>5966</v>
      </c>
      <c r="G1290" s="2" t="s">
        <v>5967</v>
      </c>
      <c r="H1290" s="2" t="s">
        <v>5968</v>
      </c>
      <c r="I1290" s="2" t="s">
        <v>5968</v>
      </c>
      <c r="J1290" s="2" t="s">
        <v>5969</v>
      </c>
      <c r="K1290" s="2" t="s">
        <v>43</v>
      </c>
      <c r="L1290" s="2" t="s">
        <v>2591</v>
      </c>
      <c r="M1290" s="2" t="s">
        <v>43</v>
      </c>
      <c r="N1290" s="2" t="s">
        <v>45</v>
      </c>
      <c r="O1290" s="2">
        <v>4</v>
      </c>
      <c r="P1290" s="2">
        <v>26</v>
      </c>
      <c r="Q1290" s="2" t="s">
        <v>46</v>
      </c>
      <c r="R1290" s="2" t="s">
        <v>47</v>
      </c>
      <c r="S1290" s="2">
        <v>0</v>
      </c>
      <c r="T1290" s="2">
        <v>0</v>
      </c>
      <c r="U1290" s="2">
        <v>0</v>
      </c>
      <c r="V1290" s="2">
        <v>0</v>
      </c>
      <c r="W1290" s="2">
        <v>10</v>
      </c>
      <c r="X1290" s="2" t="s">
        <v>5970</v>
      </c>
      <c r="Y1290" s="2">
        <v>2</v>
      </c>
      <c r="Z1290" s="2">
        <v>8</v>
      </c>
      <c r="AA1290" s="2">
        <v>4</v>
      </c>
      <c r="AB1290" s="2">
        <v>2</v>
      </c>
      <c r="AC1290" s="2">
        <v>1</v>
      </c>
      <c r="AD1290" s="2">
        <v>1</v>
      </c>
      <c r="AE1290" s="2" t="s">
        <v>0</v>
      </c>
      <c r="AF1290" s="2">
        <v>2</v>
      </c>
      <c r="AG1290" s="2" t="s">
        <v>49</v>
      </c>
    </row>
    <row r="1291" spans="1:33" ht="76.5" x14ac:dyDescent="0.2">
      <c r="A1291" s="5" t="str">
        <f>HYPERLINK("http://www.patentics.cn/invokexml.do?sf=ShowPatent&amp;spn=US8605675&amp;sv=ff241a8b45c00f6aa6fd9db3406e3fa8","US8605675")</f>
        <v>US8605675</v>
      </c>
      <c r="B1291" s="3" t="s">
        <v>5971</v>
      </c>
      <c r="C1291" s="3" t="s">
        <v>5972</v>
      </c>
      <c r="D1291" s="3" t="s">
        <v>52</v>
      </c>
      <c r="E1291" s="3" t="s">
        <v>52</v>
      </c>
      <c r="F1291" s="3" t="s">
        <v>5973</v>
      </c>
      <c r="G1291" s="3" t="s">
        <v>3073</v>
      </c>
      <c r="H1291" s="3" t="s">
        <v>1342</v>
      </c>
      <c r="I1291" s="3" t="s">
        <v>5974</v>
      </c>
      <c r="J1291" s="3" t="s">
        <v>5975</v>
      </c>
      <c r="K1291" s="3" t="s">
        <v>82</v>
      </c>
      <c r="L1291" s="3" t="s">
        <v>83</v>
      </c>
      <c r="M1291" s="3" t="s">
        <v>82</v>
      </c>
      <c r="N1291" s="3" t="s">
        <v>4890</v>
      </c>
      <c r="O1291" s="3">
        <v>0</v>
      </c>
      <c r="P1291" s="3">
        <v>20</v>
      </c>
      <c r="Q1291" s="3" t="s">
        <v>60</v>
      </c>
      <c r="R1291" s="3" t="s">
        <v>61</v>
      </c>
      <c r="S1291" s="3">
        <v>11</v>
      </c>
      <c r="T1291" s="3">
        <v>1</v>
      </c>
      <c r="U1291" s="3">
        <v>10</v>
      </c>
      <c r="V1291" s="3">
        <v>8</v>
      </c>
      <c r="W1291" s="3">
        <v>6</v>
      </c>
      <c r="X1291" s="3" t="s">
        <v>147</v>
      </c>
      <c r="Y1291" s="3">
        <v>0</v>
      </c>
      <c r="Z1291" s="3">
        <v>6</v>
      </c>
      <c r="AA1291" s="3">
        <v>0</v>
      </c>
      <c r="AB1291" s="3">
        <v>1</v>
      </c>
      <c r="AC1291" s="3">
        <v>23</v>
      </c>
      <c r="AD1291" s="3">
        <v>13</v>
      </c>
      <c r="AE1291" s="3">
        <v>14</v>
      </c>
      <c r="AF1291" s="3" t="s">
        <v>0</v>
      </c>
      <c r="AG1291" s="3" t="s">
        <v>49</v>
      </c>
    </row>
    <row r="1292" spans="1:33" ht="38.25" x14ac:dyDescent="0.2">
      <c r="A1292" s="5" t="str">
        <f>HYPERLINK("http://www.patentics.cn/invokexml.do?sf=ShowPatent&amp;spn=CN101911811B&amp;sv=99b37c1dfbde2216883ff844f5a9a56c","CN101911811B")</f>
        <v>CN101911811B</v>
      </c>
      <c r="B1292" s="3" t="s">
        <v>5976</v>
      </c>
      <c r="C1292" s="3" t="s">
        <v>5977</v>
      </c>
      <c r="D1292" s="3" t="s">
        <v>338</v>
      </c>
      <c r="E1292" s="3" t="s">
        <v>338</v>
      </c>
      <c r="F1292" s="3" t="s">
        <v>5978</v>
      </c>
      <c r="G1292" s="3" t="s">
        <v>5979</v>
      </c>
      <c r="H1292" s="3" t="s">
        <v>1342</v>
      </c>
      <c r="I1292" s="3" t="s">
        <v>5980</v>
      </c>
      <c r="J1292" s="3" t="s">
        <v>5981</v>
      </c>
      <c r="K1292" s="3" t="s">
        <v>82</v>
      </c>
      <c r="L1292" s="3" t="s">
        <v>1310</v>
      </c>
      <c r="M1292" s="3" t="s">
        <v>0</v>
      </c>
      <c r="N1292" s="3" t="s">
        <v>0</v>
      </c>
      <c r="O1292" s="3">
        <v>22</v>
      </c>
      <c r="P1292" s="3">
        <v>23</v>
      </c>
      <c r="Q1292" s="3" t="s">
        <v>60</v>
      </c>
      <c r="R1292" s="3" t="s">
        <v>61</v>
      </c>
      <c r="S1292" s="3">
        <v>1</v>
      </c>
      <c r="T1292" s="3">
        <v>0</v>
      </c>
      <c r="U1292" s="3">
        <v>1</v>
      </c>
      <c r="V1292" s="3">
        <v>1</v>
      </c>
      <c r="W1292" s="3">
        <v>6</v>
      </c>
      <c r="X1292" s="3" t="s">
        <v>147</v>
      </c>
      <c r="Y1292" s="3">
        <v>0</v>
      </c>
      <c r="Z1292" s="3">
        <v>6</v>
      </c>
      <c r="AA1292" s="3">
        <v>0</v>
      </c>
      <c r="AB1292" s="3">
        <v>1</v>
      </c>
      <c r="AC1292" s="3">
        <v>23</v>
      </c>
      <c r="AD1292" s="3">
        <v>13</v>
      </c>
      <c r="AE1292" s="3">
        <v>14</v>
      </c>
      <c r="AF1292" s="3" t="s">
        <v>0</v>
      </c>
      <c r="AG1292" s="3" t="s">
        <v>49</v>
      </c>
    </row>
    <row r="1293" spans="1:33" ht="38.25" x14ac:dyDescent="0.2">
      <c r="A1293" s="4" t="str">
        <f>HYPERLINK("http://www.patentics.cn/invokexml.do?sf=ShowPatent&amp;spn=CN1719942&amp;sv=f3dd918fdaf9d4cae780e5f3dc00a1db","CN1719942")</f>
        <v>CN1719942</v>
      </c>
      <c r="B1293" s="2" t="s">
        <v>5982</v>
      </c>
      <c r="C1293" s="2" t="s">
        <v>5983</v>
      </c>
      <c r="D1293" s="2" t="s">
        <v>38</v>
      </c>
      <c r="E1293" s="2" t="s">
        <v>38</v>
      </c>
      <c r="F1293" s="2" t="s">
        <v>5984</v>
      </c>
      <c r="G1293" s="2" t="s">
        <v>2886</v>
      </c>
      <c r="H1293" s="2" t="s">
        <v>5985</v>
      </c>
      <c r="I1293" s="2" t="s">
        <v>5985</v>
      </c>
      <c r="J1293" s="2" t="s">
        <v>5986</v>
      </c>
      <c r="K1293" s="2" t="s">
        <v>43</v>
      </c>
      <c r="L1293" s="2" t="s">
        <v>2591</v>
      </c>
      <c r="M1293" s="2" t="s">
        <v>58</v>
      </c>
      <c r="N1293" s="2" t="s">
        <v>1785</v>
      </c>
      <c r="O1293" s="2">
        <v>8</v>
      </c>
      <c r="P1293" s="2">
        <v>19</v>
      </c>
      <c r="Q1293" s="2" t="s">
        <v>46</v>
      </c>
      <c r="R1293" s="2" t="s">
        <v>47</v>
      </c>
      <c r="S1293" s="2">
        <v>0</v>
      </c>
      <c r="T1293" s="2">
        <v>0</v>
      </c>
      <c r="U1293" s="2">
        <v>0</v>
      </c>
      <c r="V1293" s="2">
        <v>0</v>
      </c>
      <c r="W1293" s="2">
        <v>15</v>
      </c>
      <c r="X1293" s="2" t="s">
        <v>353</v>
      </c>
      <c r="Y1293" s="2">
        <v>3</v>
      </c>
      <c r="Z1293" s="2">
        <v>12</v>
      </c>
      <c r="AA1293" s="2">
        <v>8</v>
      </c>
      <c r="AB1293" s="2">
        <v>3</v>
      </c>
      <c r="AC1293" s="2">
        <v>9</v>
      </c>
      <c r="AD1293" s="2">
        <v>5</v>
      </c>
      <c r="AE1293" s="2" t="s">
        <v>0</v>
      </c>
      <c r="AF1293" s="2">
        <v>2</v>
      </c>
      <c r="AG1293" s="2" t="s">
        <v>49</v>
      </c>
    </row>
    <row r="1294" spans="1:33" ht="63.75" x14ac:dyDescent="0.2">
      <c r="A1294" s="5" t="str">
        <f>HYPERLINK("http://www.patentics.cn/invokexml.do?sf=ShowPatent&amp;spn=US8989208&amp;sv=99447fef1ccfd0e600800ec30ba1d577","US8989208")</f>
        <v>US8989208</v>
      </c>
      <c r="B1294" s="3" t="s">
        <v>5345</v>
      </c>
      <c r="C1294" s="3" t="s">
        <v>5346</v>
      </c>
      <c r="D1294" s="3" t="s">
        <v>52</v>
      </c>
      <c r="E1294" s="3" t="s">
        <v>52</v>
      </c>
      <c r="F1294" s="3" t="s">
        <v>5347</v>
      </c>
      <c r="G1294" s="3" t="s">
        <v>1091</v>
      </c>
      <c r="H1294" s="3" t="s">
        <v>5348</v>
      </c>
      <c r="I1294" s="3" t="s">
        <v>5349</v>
      </c>
      <c r="J1294" s="3" t="s">
        <v>812</v>
      </c>
      <c r="K1294" s="3" t="s">
        <v>58</v>
      </c>
      <c r="L1294" s="3" t="s">
        <v>4352</v>
      </c>
      <c r="M1294" s="3" t="s">
        <v>58</v>
      </c>
      <c r="N1294" s="3" t="s">
        <v>5350</v>
      </c>
      <c r="O1294" s="3">
        <v>0</v>
      </c>
      <c r="P1294" s="3">
        <v>9</v>
      </c>
      <c r="Q1294" s="3" t="s">
        <v>60</v>
      </c>
      <c r="R1294" s="3" t="s">
        <v>61</v>
      </c>
      <c r="S1294" s="3">
        <v>12</v>
      </c>
      <c r="T1294" s="3">
        <v>1</v>
      </c>
      <c r="U1294" s="3">
        <v>11</v>
      </c>
      <c r="V1294" s="3">
        <v>7</v>
      </c>
      <c r="W1294" s="3">
        <v>9</v>
      </c>
      <c r="X1294" s="3" t="s">
        <v>108</v>
      </c>
      <c r="Y1294" s="3">
        <v>1</v>
      </c>
      <c r="Z1294" s="3">
        <v>8</v>
      </c>
      <c r="AA1294" s="3">
        <v>1</v>
      </c>
      <c r="AB1294" s="3">
        <v>2</v>
      </c>
      <c r="AC1294" s="3">
        <v>15</v>
      </c>
      <c r="AD1294" s="3">
        <v>7</v>
      </c>
      <c r="AE1294" s="3">
        <v>14</v>
      </c>
      <c r="AF1294" s="3" t="s">
        <v>0</v>
      </c>
      <c r="AG1294" s="3" t="s">
        <v>49</v>
      </c>
    </row>
    <row r="1295" spans="1:33" ht="25.5" x14ac:dyDescent="0.2">
      <c r="A1295" s="5" t="str">
        <f>HYPERLINK("http://www.patentics.cn/invokexml.do?sf=ShowPatent&amp;spn=CN102415038B&amp;sv=3c9e8b66691876d5078729bfa66c310a","CN102415038B")</f>
        <v>CN102415038B</v>
      </c>
      <c r="B1295" s="3" t="s">
        <v>5351</v>
      </c>
      <c r="C1295" s="3" t="s">
        <v>5352</v>
      </c>
      <c r="D1295" s="3" t="s">
        <v>338</v>
      </c>
      <c r="E1295" s="3" t="s">
        <v>338</v>
      </c>
      <c r="F1295" s="3" t="s">
        <v>5353</v>
      </c>
      <c r="G1295" s="3" t="s">
        <v>1190</v>
      </c>
      <c r="H1295" s="3" t="s">
        <v>5348</v>
      </c>
      <c r="I1295" s="3" t="s">
        <v>1403</v>
      </c>
      <c r="J1295" s="3" t="s">
        <v>5354</v>
      </c>
      <c r="K1295" s="3" t="s">
        <v>58</v>
      </c>
      <c r="L1295" s="3" t="s">
        <v>5355</v>
      </c>
      <c r="M1295" s="3" t="s">
        <v>0</v>
      </c>
      <c r="N1295" s="3" t="s">
        <v>0</v>
      </c>
      <c r="O1295" s="3">
        <v>45</v>
      </c>
      <c r="P1295" s="3">
        <v>12</v>
      </c>
      <c r="Q1295" s="3" t="s">
        <v>60</v>
      </c>
      <c r="R1295" s="3" t="s">
        <v>61</v>
      </c>
      <c r="S1295" s="3">
        <v>6</v>
      </c>
      <c r="T1295" s="3">
        <v>0</v>
      </c>
      <c r="U1295" s="3">
        <v>6</v>
      </c>
      <c r="V1295" s="3">
        <v>4</v>
      </c>
      <c r="W1295" s="3">
        <v>8</v>
      </c>
      <c r="X1295" s="3" t="s">
        <v>147</v>
      </c>
      <c r="Y1295" s="3">
        <v>0</v>
      </c>
      <c r="Z1295" s="3">
        <v>8</v>
      </c>
      <c r="AA1295" s="3">
        <v>0</v>
      </c>
      <c r="AB1295" s="3">
        <v>1</v>
      </c>
      <c r="AC1295" s="3">
        <v>15</v>
      </c>
      <c r="AD1295" s="3">
        <v>7</v>
      </c>
      <c r="AE1295" s="3">
        <v>14</v>
      </c>
      <c r="AF1295" s="3" t="s">
        <v>0</v>
      </c>
      <c r="AG1295" s="3" t="s">
        <v>49</v>
      </c>
    </row>
    <row r="1296" spans="1:33" ht="38.25" x14ac:dyDescent="0.2">
      <c r="A1296" s="4" t="str">
        <f>HYPERLINK("http://www.patentics.cn/invokexml.do?sf=ShowPatent&amp;spn=CN1719935&amp;sv=9c3b123f65f59a178d5d3de022727a9d","CN1719935")</f>
        <v>CN1719935</v>
      </c>
      <c r="B1296" s="2" t="s">
        <v>5987</v>
      </c>
      <c r="C1296" s="2" t="s">
        <v>5988</v>
      </c>
      <c r="D1296" s="2" t="s">
        <v>38</v>
      </c>
      <c r="E1296" s="2" t="s">
        <v>38</v>
      </c>
      <c r="F1296" s="2" t="s">
        <v>5989</v>
      </c>
      <c r="G1296" s="2" t="s">
        <v>5990</v>
      </c>
      <c r="H1296" s="2" t="s">
        <v>5991</v>
      </c>
      <c r="I1296" s="2" t="s">
        <v>5991</v>
      </c>
      <c r="J1296" s="2" t="s">
        <v>5986</v>
      </c>
      <c r="K1296" s="2" t="s">
        <v>43</v>
      </c>
      <c r="L1296" s="2" t="s">
        <v>2591</v>
      </c>
      <c r="M1296" s="2" t="s">
        <v>84</v>
      </c>
      <c r="N1296" s="2" t="s">
        <v>3122</v>
      </c>
      <c r="O1296" s="2">
        <v>12</v>
      </c>
      <c r="P1296" s="2">
        <v>17</v>
      </c>
      <c r="Q1296" s="2" t="s">
        <v>46</v>
      </c>
      <c r="R1296" s="2" t="s">
        <v>47</v>
      </c>
      <c r="S1296" s="2">
        <v>0</v>
      </c>
      <c r="T1296" s="2">
        <v>0</v>
      </c>
      <c r="U1296" s="2">
        <v>0</v>
      </c>
      <c r="V1296" s="2">
        <v>0</v>
      </c>
      <c r="W1296" s="2">
        <v>19</v>
      </c>
      <c r="X1296" s="2" t="s">
        <v>5992</v>
      </c>
      <c r="Y1296" s="2">
        <v>6</v>
      </c>
      <c r="Z1296" s="2">
        <v>13</v>
      </c>
      <c r="AA1296" s="2">
        <v>9</v>
      </c>
      <c r="AB1296" s="2">
        <v>3</v>
      </c>
      <c r="AC1296" s="2">
        <v>1</v>
      </c>
      <c r="AD1296" s="2">
        <v>1</v>
      </c>
      <c r="AE1296" s="2" t="s">
        <v>0</v>
      </c>
      <c r="AF1296" s="2">
        <v>2</v>
      </c>
      <c r="AG1296" s="2" t="s">
        <v>49</v>
      </c>
    </row>
    <row r="1297" spans="1:33" ht="89.25" x14ac:dyDescent="0.2">
      <c r="A1297" s="5" t="str">
        <f>HYPERLINK("http://www.patentics.cn/invokexml.do?sf=ShowPatent&amp;spn=US8891436&amp;sv=f97afbb8e4803cb860afa47365ed7d57","US8891436")</f>
        <v>US8891436</v>
      </c>
      <c r="B1297" s="3" t="s">
        <v>2894</v>
      </c>
      <c r="C1297" s="3" t="s">
        <v>2895</v>
      </c>
      <c r="D1297" s="3" t="s">
        <v>52</v>
      </c>
      <c r="E1297" s="3" t="s">
        <v>52</v>
      </c>
      <c r="F1297" s="3" t="s">
        <v>2896</v>
      </c>
      <c r="G1297" s="3" t="s">
        <v>2897</v>
      </c>
      <c r="H1297" s="3" t="s">
        <v>2898</v>
      </c>
      <c r="I1297" s="3" t="s">
        <v>1465</v>
      </c>
      <c r="J1297" s="3" t="s">
        <v>1993</v>
      </c>
      <c r="K1297" s="3" t="s">
        <v>84</v>
      </c>
      <c r="L1297" s="3" t="s">
        <v>114</v>
      </c>
      <c r="M1297" s="3" t="s">
        <v>82</v>
      </c>
      <c r="N1297" s="3" t="s">
        <v>2899</v>
      </c>
      <c r="O1297" s="3">
        <v>0</v>
      </c>
      <c r="P1297" s="3">
        <v>11</v>
      </c>
      <c r="Q1297" s="3" t="s">
        <v>60</v>
      </c>
      <c r="R1297" s="3" t="s">
        <v>47</v>
      </c>
      <c r="S1297" s="3">
        <v>10</v>
      </c>
      <c r="T1297" s="3">
        <v>2</v>
      </c>
      <c r="U1297" s="3">
        <v>8</v>
      </c>
      <c r="V1297" s="3">
        <v>6</v>
      </c>
      <c r="W1297" s="3">
        <v>1</v>
      </c>
      <c r="X1297" s="3" t="s">
        <v>108</v>
      </c>
      <c r="Y1297" s="3">
        <v>0</v>
      </c>
      <c r="Z1297" s="3">
        <v>1</v>
      </c>
      <c r="AA1297" s="3">
        <v>1</v>
      </c>
      <c r="AB1297" s="3">
        <v>1</v>
      </c>
      <c r="AC1297" s="3">
        <v>3</v>
      </c>
      <c r="AD1297" s="3">
        <v>2</v>
      </c>
      <c r="AE1297" s="3">
        <v>14</v>
      </c>
      <c r="AF1297" s="3" t="s">
        <v>0</v>
      </c>
      <c r="AG1297" s="3" t="s">
        <v>49</v>
      </c>
    </row>
    <row r="1298" spans="1:33" ht="63.75" x14ac:dyDescent="0.2">
      <c r="A1298" s="5" t="str">
        <f>HYPERLINK("http://www.patentics.cn/invokexml.do?sf=ShowPatent&amp;spn=WO2011143826&amp;sv=851104bf17bf450aa2d07e22e1973435","WO2011143826")</f>
        <v>WO2011143826</v>
      </c>
      <c r="B1298" s="3" t="s">
        <v>2900</v>
      </c>
      <c r="C1298" s="3" t="s">
        <v>2895</v>
      </c>
      <c r="D1298" s="3" t="s">
        <v>2901</v>
      </c>
      <c r="E1298" s="3" t="s">
        <v>2902</v>
      </c>
      <c r="F1298" s="3" t="s">
        <v>2903</v>
      </c>
      <c r="G1298" s="3" t="s">
        <v>2904</v>
      </c>
      <c r="H1298" s="3" t="s">
        <v>2898</v>
      </c>
      <c r="I1298" s="3" t="s">
        <v>2898</v>
      </c>
      <c r="J1298" s="3" t="s">
        <v>2905</v>
      </c>
      <c r="K1298" s="3" t="s">
        <v>82</v>
      </c>
      <c r="L1298" s="3" t="s">
        <v>2297</v>
      </c>
      <c r="M1298" s="3" t="s">
        <v>0</v>
      </c>
      <c r="N1298" s="3" t="s">
        <v>0</v>
      </c>
      <c r="O1298" s="3">
        <v>32</v>
      </c>
      <c r="P1298" s="3">
        <v>10</v>
      </c>
      <c r="Q1298" s="3" t="s">
        <v>352</v>
      </c>
      <c r="R1298" s="3" t="s">
        <v>47</v>
      </c>
      <c r="S1298" s="3">
        <v>4</v>
      </c>
      <c r="T1298" s="3">
        <v>0</v>
      </c>
      <c r="U1298" s="3">
        <v>4</v>
      </c>
      <c r="V1298" s="3">
        <v>2</v>
      </c>
      <c r="W1298" s="3">
        <v>3</v>
      </c>
      <c r="X1298" s="3" t="s">
        <v>2906</v>
      </c>
      <c r="Y1298" s="3">
        <v>1</v>
      </c>
      <c r="Z1298" s="3">
        <v>2</v>
      </c>
      <c r="AA1298" s="3">
        <v>2</v>
      </c>
      <c r="AB1298" s="3">
        <v>2</v>
      </c>
      <c r="AC1298" s="3">
        <v>3</v>
      </c>
      <c r="AD1298" s="3">
        <v>2</v>
      </c>
      <c r="AE1298" s="3">
        <v>14</v>
      </c>
      <c r="AF1298" s="3" t="s">
        <v>0</v>
      </c>
      <c r="AG1298" s="3" t="s">
        <v>0</v>
      </c>
    </row>
    <row r="1299" spans="1:33" ht="25.5" x14ac:dyDescent="0.2">
      <c r="A1299" s="4" t="str">
        <f>HYPERLINK("http://www.patentics.cn/invokexml.do?sf=ShowPatent&amp;spn=CN1567782&amp;sv=c8b524e4c185eacbcdeafbc7c50202b2","CN1567782")</f>
        <v>CN1567782</v>
      </c>
      <c r="B1299" s="2" t="s">
        <v>5993</v>
      </c>
      <c r="C1299" s="2" t="s">
        <v>5994</v>
      </c>
      <c r="D1299" s="2" t="s">
        <v>37</v>
      </c>
      <c r="E1299" s="2" t="s">
        <v>38</v>
      </c>
      <c r="F1299" s="2" t="s">
        <v>5995</v>
      </c>
      <c r="G1299" s="2" t="s">
        <v>5996</v>
      </c>
      <c r="H1299" s="2" t="s">
        <v>5997</v>
      </c>
      <c r="I1299" s="2" t="s">
        <v>5997</v>
      </c>
      <c r="J1299" s="2" t="s">
        <v>5998</v>
      </c>
      <c r="K1299" s="2" t="s">
        <v>70</v>
      </c>
      <c r="L1299" s="2" t="s">
        <v>5999</v>
      </c>
      <c r="M1299" s="2" t="s">
        <v>43</v>
      </c>
      <c r="N1299" s="2" t="s">
        <v>3004</v>
      </c>
      <c r="O1299" s="2">
        <v>2</v>
      </c>
      <c r="P1299" s="2">
        <v>21</v>
      </c>
      <c r="Q1299" s="2" t="s">
        <v>46</v>
      </c>
      <c r="R1299" s="2" t="s">
        <v>47</v>
      </c>
      <c r="S1299" s="2">
        <v>0</v>
      </c>
      <c r="T1299" s="2">
        <v>0</v>
      </c>
      <c r="U1299" s="2">
        <v>0</v>
      </c>
      <c r="V1299" s="2">
        <v>0</v>
      </c>
      <c r="W1299" s="2">
        <v>9</v>
      </c>
      <c r="X1299" s="2" t="s">
        <v>3328</v>
      </c>
      <c r="Y1299" s="2">
        <v>7</v>
      </c>
      <c r="Z1299" s="2">
        <v>2</v>
      </c>
      <c r="AA1299" s="2">
        <v>2</v>
      </c>
      <c r="AB1299" s="2">
        <v>3</v>
      </c>
      <c r="AC1299" s="2">
        <v>1</v>
      </c>
      <c r="AD1299" s="2">
        <v>1</v>
      </c>
      <c r="AE1299" s="2" t="s">
        <v>0</v>
      </c>
      <c r="AF1299" s="2">
        <v>2</v>
      </c>
      <c r="AG1299" s="2" t="s">
        <v>49</v>
      </c>
    </row>
    <row r="1300" spans="1:33" ht="102" x14ac:dyDescent="0.2">
      <c r="A1300" s="5" t="str">
        <f>HYPERLINK("http://www.patentics.cn/invokexml.do?sf=ShowPatent&amp;spn=US9253092&amp;sv=fe1b49a90d99a8d9db3d5d168fa87966","US9253092")</f>
        <v>US9253092</v>
      </c>
      <c r="B1300" s="3" t="s">
        <v>6000</v>
      </c>
      <c r="C1300" s="3" t="s">
        <v>6001</v>
      </c>
      <c r="D1300" s="3" t="s">
        <v>52</v>
      </c>
      <c r="E1300" s="3" t="s">
        <v>52</v>
      </c>
      <c r="F1300" s="3" t="s">
        <v>6002</v>
      </c>
      <c r="G1300" s="3" t="s">
        <v>6003</v>
      </c>
      <c r="H1300" s="3" t="s">
        <v>6004</v>
      </c>
      <c r="I1300" s="3" t="s">
        <v>5697</v>
      </c>
      <c r="J1300" s="3" t="s">
        <v>659</v>
      </c>
      <c r="K1300" s="3" t="s">
        <v>58</v>
      </c>
      <c r="L1300" s="3" t="s">
        <v>289</v>
      </c>
      <c r="M1300" s="3" t="s">
        <v>58</v>
      </c>
      <c r="N1300" s="3" t="s">
        <v>641</v>
      </c>
      <c r="O1300" s="3">
        <v>0</v>
      </c>
      <c r="P1300" s="3">
        <v>9</v>
      </c>
      <c r="Q1300" s="3" t="s">
        <v>60</v>
      </c>
      <c r="R1300" s="3" t="s">
        <v>61</v>
      </c>
      <c r="S1300" s="3">
        <v>53</v>
      </c>
      <c r="T1300" s="3">
        <v>9</v>
      </c>
      <c r="U1300" s="3">
        <v>44</v>
      </c>
      <c r="V1300" s="3">
        <v>23</v>
      </c>
      <c r="W1300" s="3">
        <v>0</v>
      </c>
      <c r="X1300" s="3" t="s">
        <v>147</v>
      </c>
      <c r="Y1300" s="3">
        <v>0</v>
      </c>
      <c r="Z1300" s="3">
        <v>0</v>
      </c>
      <c r="AA1300" s="3">
        <v>0</v>
      </c>
      <c r="AB1300" s="3">
        <v>0</v>
      </c>
      <c r="AC1300" s="3">
        <v>46</v>
      </c>
      <c r="AD1300" s="3">
        <v>13</v>
      </c>
      <c r="AE1300" s="3">
        <v>14</v>
      </c>
      <c r="AF1300" s="3" t="s">
        <v>0</v>
      </c>
      <c r="AG1300" s="3" t="s">
        <v>49</v>
      </c>
    </row>
    <row r="1301" spans="1:33" ht="89.25" x14ac:dyDescent="0.2">
      <c r="A1301" s="5" t="str">
        <f>HYPERLINK("http://www.patentics.cn/invokexml.do?sf=ShowPatent&amp;spn=CN102316539B&amp;sv=3deb5a455aa5bbe0542cf1ba0c3d3f96","CN102316539B")</f>
        <v>CN102316539B</v>
      </c>
      <c r="B1301" s="3" t="s">
        <v>6005</v>
      </c>
      <c r="C1301" s="3" t="s">
        <v>6006</v>
      </c>
      <c r="D1301" s="3" t="s">
        <v>338</v>
      </c>
      <c r="E1301" s="3" t="s">
        <v>338</v>
      </c>
      <c r="F1301" s="3" t="s">
        <v>6007</v>
      </c>
      <c r="G1301" s="3" t="s">
        <v>6008</v>
      </c>
      <c r="H1301" s="3" t="s">
        <v>6004</v>
      </c>
      <c r="I1301" s="3" t="s">
        <v>5697</v>
      </c>
      <c r="J1301" s="3" t="s">
        <v>6009</v>
      </c>
      <c r="K1301" s="3" t="s">
        <v>82</v>
      </c>
      <c r="L1301" s="3" t="s">
        <v>6010</v>
      </c>
      <c r="M1301" s="3" t="s">
        <v>0</v>
      </c>
      <c r="N1301" s="3" t="s">
        <v>0</v>
      </c>
      <c r="O1301" s="3">
        <v>5</v>
      </c>
      <c r="P1301" s="3">
        <v>10</v>
      </c>
      <c r="Q1301" s="3" t="s">
        <v>60</v>
      </c>
      <c r="R1301" s="3" t="s">
        <v>61</v>
      </c>
      <c r="S1301" s="3">
        <v>3</v>
      </c>
      <c r="T1301" s="3">
        <v>1</v>
      </c>
      <c r="U1301" s="3">
        <v>2</v>
      </c>
      <c r="V1301" s="3">
        <v>3</v>
      </c>
      <c r="W1301" s="3">
        <v>0</v>
      </c>
      <c r="X1301" s="3" t="s">
        <v>147</v>
      </c>
      <c r="Y1301" s="3">
        <v>0</v>
      </c>
      <c r="Z1301" s="3">
        <v>0</v>
      </c>
      <c r="AA1301" s="3">
        <v>0</v>
      </c>
      <c r="AB1301" s="3">
        <v>0</v>
      </c>
      <c r="AC1301" s="3">
        <v>46</v>
      </c>
      <c r="AD1301" s="3">
        <v>13</v>
      </c>
      <c r="AE1301" s="3">
        <v>14</v>
      </c>
      <c r="AF1301" s="3" t="s">
        <v>0</v>
      </c>
      <c r="AG1301" s="3" t="s">
        <v>49</v>
      </c>
    </row>
    <row r="1302" spans="1:33" ht="25.5" x14ac:dyDescent="0.2">
      <c r="A1302" s="4" t="str">
        <f>HYPERLINK("http://www.patentics.cn/invokexml.do?sf=ShowPatent&amp;spn=CN1564553&amp;sv=607a9173969a82127e0f745cc8b893fc","CN1564553")</f>
        <v>CN1564553</v>
      </c>
      <c r="B1302" s="2" t="s">
        <v>6011</v>
      </c>
      <c r="C1302" s="2" t="s">
        <v>6012</v>
      </c>
      <c r="D1302" s="2" t="s">
        <v>38</v>
      </c>
      <c r="E1302" s="2" t="s">
        <v>38</v>
      </c>
      <c r="F1302" s="2" t="s">
        <v>6013</v>
      </c>
      <c r="G1302" s="2" t="s">
        <v>6014</v>
      </c>
      <c r="H1302" s="2" t="s">
        <v>6015</v>
      </c>
      <c r="I1302" s="2" t="s">
        <v>6015</v>
      </c>
      <c r="J1302" s="2" t="s">
        <v>6016</v>
      </c>
      <c r="K1302" s="2" t="s">
        <v>58</v>
      </c>
      <c r="L1302" s="2" t="s">
        <v>1784</v>
      </c>
      <c r="M1302" s="2" t="s">
        <v>58</v>
      </c>
      <c r="N1302" s="2" t="s">
        <v>6017</v>
      </c>
      <c r="O1302" s="2">
        <v>14</v>
      </c>
      <c r="P1302" s="2">
        <v>21</v>
      </c>
      <c r="Q1302" s="2" t="s">
        <v>46</v>
      </c>
      <c r="R1302" s="2" t="s">
        <v>47</v>
      </c>
      <c r="S1302" s="2">
        <v>0</v>
      </c>
      <c r="T1302" s="2">
        <v>0</v>
      </c>
      <c r="U1302" s="2">
        <v>0</v>
      </c>
      <c r="V1302" s="2">
        <v>0</v>
      </c>
      <c r="W1302" s="2">
        <v>3</v>
      </c>
      <c r="X1302" s="2" t="s">
        <v>1982</v>
      </c>
      <c r="Y1302" s="2">
        <v>0</v>
      </c>
      <c r="Z1302" s="2">
        <v>3</v>
      </c>
      <c r="AA1302" s="2">
        <v>2</v>
      </c>
      <c r="AB1302" s="2">
        <v>2</v>
      </c>
      <c r="AC1302" s="2">
        <v>1</v>
      </c>
      <c r="AD1302" s="2">
        <v>1</v>
      </c>
      <c r="AE1302" s="2" t="s">
        <v>0</v>
      </c>
      <c r="AF1302" s="2">
        <v>2</v>
      </c>
      <c r="AG1302" s="2" t="s">
        <v>755</v>
      </c>
    </row>
    <row r="1303" spans="1:33" ht="102" x14ac:dyDescent="0.2">
      <c r="A1303" s="5" t="str">
        <f>HYPERLINK("http://www.patentics.cn/invokexml.do?sf=ShowPatent&amp;spn=US9043862&amp;sv=ceac26a9b4b382e8fc2f7623fa6b1317","US9043862")</f>
        <v>US9043862</v>
      </c>
      <c r="B1303" s="3" t="s">
        <v>6018</v>
      </c>
      <c r="C1303" s="3" t="s">
        <v>6019</v>
      </c>
      <c r="D1303" s="3" t="s">
        <v>52</v>
      </c>
      <c r="E1303" s="3" t="s">
        <v>52</v>
      </c>
      <c r="F1303" s="3" t="s">
        <v>6020</v>
      </c>
      <c r="G1303" s="3" t="s">
        <v>3925</v>
      </c>
      <c r="H1303" s="3" t="s">
        <v>3909</v>
      </c>
      <c r="I1303" s="3" t="s">
        <v>3232</v>
      </c>
      <c r="J1303" s="3" t="s">
        <v>1147</v>
      </c>
      <c r="K1303" s="3" t="s">
        <v>58</v>
      </c>
      <c r="L1303" s="3" t="s">
        <v>6021</v>
      </c>
      <c r="M1303" s="3" t="s">
        <v>0</v>
      </c>
      <c r="N1303" s="3" t="s">
        <v>0</v>
      </c>
      <c r="O1303" s="3">
        <v>0</v>
      </c>
      <c r="P1303" s="3">
        <v>14</v>
      </c>
      <c r="Q1303" s="3" t="s">
        <v>60</v>
      </c>
      <c r="R1303" s="3" t="s">
        <v>61</v>
      </c>
      <c r="S1303" s="3">
        <v>28</v>
      </c>
      <c r="T1303" s="3">
        <v>2</v>
      </c>
      <c r="U1303" s="3">
        <v>26</v>
      </c>
      <c r="V1303" s="3">
        <v>14</v>
      </c>
      <c r="W1303" s="3">
        <v>18</v>
      </c>
      <c r="X1303" s="3" t="s">
        <v>147</v>
      </c>
      <c r="Y1303" s="3">
        <v>0</v>
      </c>
      <c r="Z1303" s="3">
        <v>18</v>
      </c>
      <c r="AA1303" s="3">
        <v>0</v>
      </c>
      <c r="AB1303" s="3">
        <v>1</v>
      </c>
      <c r="AC1303" s="3">
        <v>21</v>
      </c>
      <c r="AD1303" s="3">
        <v>14</v>
      </c>
      <c r="AE1303" s="3">
        <v>14</v>
      </c>
      <c r="AF1303" s="3" t="s">
        <v>0</v>
      </c>
      <c r="AG1303" s="3" t="s">
        <v>49</v>
      </c>
    </row>
    <row r="1304" spans="1:33" ht="63.75" x14ac:dyDescent="0.2">
      <c r="A1304" s="5" t="str">
        <f>HYPERLINK("http://www.patentics.cn/invokexml.do?sf=ShowPatent&amp;spn=CN101939968B&amp;sv=75b764100dac5061f843e77ebab05a06","CN101939968B")</f>
        <v>CN101939968B</v>
      </c>
      <c r="B1304" s="3" t="s">
        <v>6022</v>
      </c>
      <c r="C1304" s="3" t="s">
        <v>6023</v>
      </c>
      <c r="D1304" s="3" t="s">
        <v>338</v>
      </c>
      <c r="E1304" s="3" t="s">
        <v>338</v>
      </c>
      <c r="F1304" s="3" t="s">
        <v>6024</v>
      </c>
      <c r="G1304" s="3" t="s">
        <v>6025</v>
      </c>
      <c r="H1304" s="3" t="s">
        <v>3909</v>
      </c>
      <c r="I1304" s="3" t="s">
        <v>1441</v>
      </c>
      <c r="J1304" s="3" t="s">
        <v>5327</v>
      </c>
      <c r="K1304" s="3" t="s">
        <v>58</v>
      </c>
      <c r="L1304" s="3" t="s">
        <v>722</v>
      </c>
      <c r="M1304" s="3" t="s">
        <v>0</v>
      </c>
      <c r="N1304" s="3" t="s">
        <v>0</v>
      </c>
      <c r="O1304" s="3">
        <v>29</v>
      </c>
      <c r="P1304" s="3">
        <v>11</v>
      </c>
      <c r="Q1304" s="3" t="s">
        <v>60</v>
      </c>
      <c r="R1304" s="3" t="s">
        <v>61</v>
      </c>
      <c r="S1304" s="3">
        <v>2</v>
      </c>
      <c r="T1304" s="3">
        <v>0</v>
      </c>
      <c r="U1304" s="3">
        <v>2</v>
      </c>
      <c r="V1304" s="3">
        <v>2</v>
      </c>
      <c r="W1304" s="3">
        <v>18</v>
      </c>
      <c r="X1304" s="3" t="s">
        <v>147</v>
      </c>
      <c r="Y1304" s="3">
        <v>0</v>
      </c>
      <c r="Z1304" s="3">
        <v>18</v>
      </c>
      <c r="AA1304" s="3">
        <v>0</v>
      </c>
      <c r="AB1304" s="3">
        <v>1</v>
      </c>
      <c r="AC1304" s="3">
        <v>21</v>
      </c>
      <c r="AD1304" s="3">
        <v>14</v>
      </c>
      <c r="AE1304" s="3">
        <v>14</v>
      </c>
      <c r="AF1304" s="3" t="s">
        <v>0</v>
      </c>
      <c r="AG1304" s="3" t="s">
        <v>49</v>
      </c>
    </row>
    <row r="1305" spans="1:33" ht="25.5" x14ac:dyDescent="0.2">
      <c r="A1305" s="4" t="str">
        <f>HYPERLINK("http://www.patentics.cn/invokexml.do?sf=ShowPatent&amp;spn=CN1553609&amp;sv=0880f88ff785e7b43e1f99cdf20831b9","CN1553609")</f>
        <v>CN1553609</v>
      </c>
      <c r="B1305" s="2" t="s">
        <v>6026</v>
      </c>
      <c r="C1305" s="2" t="s">
        <v>6027</v>
      </c>
      <c r="D1305" s="2" t="s">
        <v>38</v>
      </c>
      <c r="E1305" s="2" t="s">
        <v>38</v>
      </c>
      <c r="F1305" s="2" t="s">
        <v>6028</v>
      </c>
      <c r="G1305" s="2" t="s">
        <v>6028</v>
      </c>
      <c r="H1305" s="2" t="s">
        <v>6029</v>
      </c>
      <c r="I1305" s="2" t="s">
        <v>6029</v>
      </c>
      <c r="J1305" s="2" t="s">
        <v>6030</v>
      </c>
      <c r="K1305" s="2" t="s">
        <v>70</v>
      </c>
      <c r="L1305" s="2" t="s">
        <v>5999</v>
      </c>
      <c r="M1305" s="2" t="s">
        <v>43</v>
      </c>
      <c r="N1305" s="2" t="s">
        <v>45</v>
      </c>
      <c r="O1305" s="2">
        <v>6</v>
      </c>
      <c r="P1305" s="2">
        <v>29</v>
      </c>
      <c r="Q1305" s="2" t="s">
        <v>46</v>
      </c>
      <c r="R1305" s="2" t="s">
        <v>47</v>
      </c>
      <c r="S1305" s="2">
        <v>2</v>
      </c>
      <c r="T1305" s="2">
        <v>0</v>
      </c>
      <c r="U1305" s="2">
        <v>2</v>
      </c>
      <c r="V1305" s="2">
        <v>2</v>
      </c>
      <c r="W1305" s="2">
        <v>24</v>
      </c>
      <c r="X1305" s="2" t="s">
        <v>6031</v>
      </c>
      <c r="Y1305" s="2">
        <v>9</v>
      </c>
      <c r="Z1305" s="2">
        <v>15</v>
      </c>
      <c r="AA1305" s="2">
        <v>9</v>
      </c>
      <c r="AB1305" s="2">
        <v>3</v>
      </c>
      <c r="AC1305" s="2">
        <v>1</v>
      </c>
      <c r="AD1305" s="2">
        <v>1</v>
      </c>
      <c r="AE1305" s="2" t="s">
        <v>0</v>
      </c>
      <c r="AF1305" s="2">
        <v>2</v>
      </c>
      <c r="AG1305" s="2" t="s">
        <v>49</v>
      </c>
    </row>
    <row r="1306" spans="1:33" ht="63.75" x14ac:dyDescent="0.2">
      <c r="A1306" s="5" t="str">
        <f>HYPERLINK("http://www.patentics.cn/invokexml.do?sf=ShowPatent&amp;spn=US8437752&amp;sv=09f7e00877408fc1a7efed8064905672","US8437752")</f>
        <v>US8437752</v>
      </c>
      <c r="B1306" s="3" t="s">
        <v>6032</v>
      </c>
      <c r="C1306" s="3" t="s">
        <v>6033</v>
      </c>
      <c r="D1306" s="3" t="s">
        <v>52</v>
      </c>
      <c r="E1306" s="3" t="s">
        <v>52</v>
      </c>
      <c r="F1306" s="3" t="s">
        <v>6034</v>
      </c>
      <c r="G1306" s="3" t="s">
        <v>6035</v>
      </c>
      <c r="H1306" s="3" t="s">
        <v>5812</v>
      </c>
      <c r="I1306" s="3" t="s">
        <v>6036</v>
      </c>
      <c r="J1306" s="3" t="s">
        <v>762</v>
      </c>
      <c r="K1306" s="3" t="s">
        <v>82</v>
      </c>
      <c r="L1306" s="3" t="s">
        <v>806</v>
      </c>
      <c r="M1306" s="3" t="s">
        <v>82</v>
      </c>
      <c r="N1306" s="3" t="s">
        <v>958</v>
      </c>
      <c r="O1306" s="3">
        <v>0</v>
      </c>
      <c r="P1306" s="3">
        <v>18</v>
      </c>
      <c r="Q1306" s="3" t="s">
        <v>60</v>
      </c>
      <c r="R1306" s="3" t="s">
        <v>61</v>
      </c>
      <c r="S1306" s="3">
        <v>21</v>
      </c>
      <c r="T1306" s="3">
        <v>4</v>
      </c>
      <c r="U1306" s="3">
        <v>17</v>
      </c>
      <c r="V1306" s="3">
        <v>8</v>
      </c>
      <c r="W1306" s="3">
        <v>17</v>
      </c>
      <c r="X1306" s="3" t="s">
        <v>423</v>
      </c>
      <c r="Y1306" s="3">
        <v>1</v>
      </c>
      <c r="Z1306" s="3">
        <v>16</v>
      </c>
      <c r="AA1306" s="3">
        <v>1</v>
      </c>
      <c r="AB1306" s="3">
        <v>2</v>
      </c>
      <c r="AC1306" s="3">
        <v>27</v>
      </c>
      <c r="AD1306" s="3">
        <v>16</v>
      </c>
      <c r="AE1306" s="3">
        <v>14</v>
      </c>
      <c r="AF1306" s="3" t="s">
        <v>0</v>
      </c>
      <c r="AG1306" s="3" t="s">
        <v>49</v>
      </c>
    </row>
    <row r="1307" spans="1:33" ht="51" x14ac:dyDescent="0.2">
      <c r="A1307" s="5" t="str">
        <f>HYPERLINK("http://www.patentics.cn/invokexml.do?sf=ShowPatent&amp;spn=CN101981957B&amp;sv=edec8d0e624d215e16f3db659b478a5c","CN101981957B")</f>
        <v>CN101981957B</v>
      </c>
      <c r="B1307" s="3" t="s">
        <v>6037</v>
      </c>
      <c r="C1307" s="3" t="s">
        <v>6038</v>
      </c>
      <c r="D1307" s="3" t="s">
        <v>338</v>
      </c>
      <c r="E1307" s="3" t="s">
        <v>338</v>
      </c>
      <c r="F1307" s="3" t="s">
        <v>6039</v>
      </c>
      <c r="G1307" s="3" t="s">
        <v>6040</v>
      </c>
      <c r="H1307" s="3" t="s">
        <v>5812</v>
      </c>
      <c r="I1307" s="3" t="s">
        <v>1198</v>
      </c>
      <c r="J1307" s="3" t="s">
        <v>6041</v>
      </c>
      <c r="K1307" s="3" t="s">
        <v>58</v>
      </c>
      <c r="L1307" s="3" t="s">
        <v>4867</v>
      </c>
      <c r="M1307" s="3" t="s">
        <v>0</v>
      </c>
      <c r="N1307" s="3" t="s">
        <v>0</v>
      </c>
      <c r="O1307" s="3">
        <v>38</v>
      </c>
      <c r="P1307" s="3">
        <v>15</v>
      </c>
      <c r="Q1307" s="3" t="s">
        <v>60</v>
      </c>
      <c r="R1307" s="3" t="s">
        <v>61</v>
      </c>
      <c r="S1307" s="3">
        <v>3</v>
      </c>
      <c r="T1307" s="3">
        <v>1</v>
      </c>
      <c r="U1307" s="3">
        <v>2</v>
      </c>
      <c r="V1307" s="3">
        <v>3</v>
      </c>
      <c r="W1307" s="3">
        <v>16</v>
      </c>
      <c r="X1307" s="3" t="s">
        <v>147</v>
      </c>
      <c r="Y1307" s="3">
        <v>0</v>
      </c>
      <c r="Z1307" s="3">
        <v>16</v>
      </c>
      <c r="AA1307" s="3">
        <v>0</v>
      </c>
      <c r="AB1307" s="3">
        <v>1</v>
      </c>
      <c r="AC1307" s="3">
        <v>27</v>
      </c>
      <c r="AD1307" s="3">
        <v>16</v>
      </c>
      <c r="AE1307" s="3">
        <v>14</v>
      </c>
      <c r="AF1307" s="3" t="s">
        <v>0</v>
      </c>
      <c r="AG1307" s="3" t="s">
        <v>49</v>
      </c>
    </row>
    <row r="1308" spans="1:33" ht="25.5" x14ac:dyDescent="0.2">
      <c r="A1308" s="4" t="str">
        <f>HYPERLINK("http://www.patentics.cn/invokexml.do?sf=ShowPatent&amp;spn=CN1529501&amp;sv=57c38866da94e8c056c2df0584d145cc","CN1529501")</f>
        <v>CN1529501</v>
      </c>
      <c r="B1308" s="2" t="s">
        <v>6042</v>
      </c>
      <c r="C1308" s="2" t="s">
        <v>6043</v>
      </c>
      <c r="D1308" s="2" t="s">
        <v>38</v>
      </c>
      <c r="E1308" s="2" t="s">
        <v>38</v>
      </c>
      <c r="F1308" s="2" t="s">
        <v>6044</v>
      </c>
      <c r="G1308" s="2" t="s">
        <v>6044</v>
      </c>
      <c r="H1308" s="2" t="s">
        <v>6045</v>
      </c>
      <c r="I1308" s="2" t="s">
        <v>6045</v>
      </c>
      <c r="J1308" s="2" t="s">
        <v>6046</v>
      </c>
      <c r="K1308" s="2" t="s">
        <v>544</v>
      </c>
      <c r="L1308" s="2" t="s">
        <v>6047</v>
      </c>
      <c r="M1308" s="2" t="s">
        <v>544</v>
      </c>
      <c r="N1308" s="2" t="s">
        <v>6048</v>
      </c>
      <c r="O1308" s="2">
        <v>3</v>
      </c>
      <c r="P1308" s="2">
        <v>37</v>
      </c>
      <c r="Q1308" s="2" t="s">
        <v>46</v>
      </c>
      <c r="R1308" s="2" t="s">
        <v>47</v>
      </c>
      <c r="S1308" s="2">
        <v>1</v>
      </c>
      <c r="T1308" s="2">
        <v>0</v>
      </c>
      <c r="U1308" s="2">
        <v>1</v>
      </c>
      <c r="V1308" s="2">
        <v>1</v>
      </c>
      <c r="W1308" s="2">
        <v>11</v>
      </c>
      <c r="X1308" s="2" t="s">
        <v>6049</v>
      </c>
      <c r="Y1308" s="2">
        <v>1</v>
      </c>
      <c r="Z1308" s="2">
        <v>10</v>
      </c>
      <c r="AA1308" s="2">
        <v>9</v>
      </c>
      <c r="AB1308" s="2">
        <v>3</v>
      </c>
      <c r="AC1308" s="2">
        <v>1</v>
      </c>
      <c r="AD1308" s="2">
        <v>1</v>
      </c>
      <c r="AE1308" s="2" t="s">
        <v>0</v>
      </c>
      <c r="AF1308" s="2">
        <v>2</v>
      </c>
      <c r="AG1308" s="2" t="s">
        <v>755</v>
      </c>
    </row>
    <row r="1309" spans="1:33" ht="89.25" x14ac:dyDescent="0.2">
      <c r="A1309" s="5" t="str">
        <f>HYPERLINK("http://www.patentics.cn/invokexml.do?sf=ShowPatent&amp;spn=US8908577&amp;sv=ae084a0078532354a344cb99320a99b9","US8908577")</f>
        <v>US8908577</v>
      </c>
      <c r="B1309" s="3" t="s">
        <v>6050</v>
      </c>
      <c r="C1309" s="3" t="s">
        <v>6051</v>
      </c>
      <c r="D1309" s="3" t="s">
        <v>52</v>
      </c>
      <c r="E1309" s="3" t="s">
        <v>52</v>
      </c>
      <c r="F1309" s="3" t="s">
        <v>6052</v>
      </c>
      <c r="G1309" s="3" t="s">
        <v>1654</v>
      </c>
      <c r="H1309" s="3" t="s">
        <v>2144</v>
      </c>
      <c r="I1309" s="3" t="s">
        <v>6053</v>
      </c>
      <c r="J1309" s="3" t="s">
        <v>2848</v>
      </c>
      <c r="K1309" s="3" t="s">
        <v>84</v>
      </c>
      <c r="L1309" s="3" t="s">
        <v>163</v>
      </c>
      <c r="M1309" s="3" t="s">
        <v>58</v>
      </c>
      <c r="N1309" s="3" t="s">
        <v>6054</v>
      </c>
      <c r="O1309" s="3">
        <v>0</v>
      </c>
      <c r="P1309" s="3">
        <v>29</v>
      </c>
      <c r="Q1309" s="3" t="s">
        <v>60</v>
      </c>
      <c r="R1309" s="3" t="s">
        <v>61</v>
      </c>
      <c r="S1309" s="3">
        <v>21</v>
      </c>
      <c r="T1309" s="3">
        <v>3</v>
      </c>
      <c r="U1309" s="3">
        <v>18</v>
      </c>
      <c r="V1309" s="3">
        <v>12</v>
      </c>
      <c r="W1309" s="3">
        <v>0</v>
      </c>
      <c r="X1309" s="3" t="s">
        <v>147</v>
      </c>
      <c r="Y1309" s="3">
        <v>0</v>
      </c>
      <c r="Z1309" s="3">
        <v>0</v>
      </c>
      <c r="AA1309" s="3">
        <v>0</v>
      </c>
      <c r="AB1309" s="3">
        <v>0</v>
      </c>
      <c r="AC1309" s="3">
        <v>9</v>
      </c>
      <c r="AD1309" s="3">
        <v>6</v>
      </c>
      <c r="AE1309" s="3">
        <v>14</v>
      </c>
      <c r="AF1309" s="3" t="s">
        <v>0</v>
      </c>
      <c r="AG1309" s="3" t="s">
        <v>49</v>
      </c>
    </row>
    <row r="1310" spans="1:33" ht="102" x14ac:dyDescent="0.2">
      <c r="A1310" s="5" t="str">
        <f>HYPERLINK("http://www.patentics.cn/invokexml.do?sf=ShowPatent&amp;spn=CN102057596B&amp;sv=c9e6246305c200f0c2332f8e066975b0","CN102057596B")</f>
        <v>CN102057596B</v>
      </c>
      <c r="B1310" s="3" t="s">
        <v>6055</v>
      </c>
      <c r="C1310" s="3" t="s">
        <v>6056</v>
      </c>
      <c r="D1310" s="3" t="s">
        <v>338</v>
      </c>
      <c r="E1310" s="3" t="s">
        <v>338</v>
      </c>
      <c r="F1310" s="3" t="s">
        <v>6057</v>
      </c>
      <c r="G1310" s="3" t="s">
        <v>6058</v>
      </c>
      <c r="H1310" s="3" t="s">
        <v>6059</v>
      </c>
      <c r="I1310" s="3" t="s">
        <v>1125</v>
      </c>
      <c r="J1310" s="3" t="s">
        <v>2516</v>
      </c>
      <c r="K1310" s="3" t="s">
        <v>58</v>
      </c>
      <c r="L1310" s="3" t="s">
        <v>763</v>
      </c>
      <c r="M1310" s="3" t="s">
        <v>0</v>
      </c>
      <c r="N1310" s="3" t="s">
        <v>0</v>
      </c>
      <c r="O1310" s="3">
        <v>15</v>
      </c>
      <c r="P1310" s="3">
        <v>11</v>
      </c>
      <c r="Q1310" s="3" t="s">
        <v>60</v>
      </c>
      <c r="R1310" s="3" t="s">
        <v>61</v>
      </c>
      <c r="S1310" s="3">
        <v>3</v>
      </c>
      <c r="T1310" s="3">
        <v>0</v>
      </c>
      <c r="U1310" s="3">
        <v>3</v>
      </c>
      <c r="V1310" s="3">
        <v>3</v>
      </c>
      <c r="W1310" s="3">
        <v>0</v>
      </c>
      <c r="X1310" s="3" t="s">
        <v>147</v>
      </c>
      <c r="Y1310" s="3">
        <v>0</v>
      </c>
      <c r="Z1310" s="3">
        <v>0</v>
      </c>
      <c r="AA1310" s="3">
        <v>0</v>
      </c>
      <c r="AB1310" s="3">
        <v>0</v>
      </c>
      <c r="AC1310" s="3">
        <v>0</v>
      </c>
      <c r="AD1310" s="3">
        <v>0</v>
      </c>
      <c r="AE1310" s="3">
        <v>14</v>
      </c>
      <c r="AF1310" s="3" t="s">
        <v>0</v>
      </c>
      <c r="AG1310" s="3" t="s">
        <v>49</v>
      </c>
    </row>
    <row r="1311" spans="1:33" ht="38.25" x14ac:dyDescent="0.2">
      <c r="A1311" s="4" t="str">
        <f>HYPERLINK("http://www.patentics.cn/invokexml.do?sf=ShowPatent&amp;spn=CN1525353&amp;sv=903c989b2e8cf978072cc9d182c8e0f2","CN1525353")</f>
        <v>CN1525353</v>
      </c>
      <c r="B1311" s="2" t="s">
        <v>6060</v>
      </c>
      <c r="C1311" s="2" t="s">
        <v>6061</v>
      </c>
      <c r="D1311" s="2" t="s">
        <v>38</v>
      </c>
      <c r="E1311" s="2" t="s">
        <v>38</v>
      </c>
      <c r="F1311" s="2" t="s">
        <v>6062</v>
      </c>
      <c r="G1311" s="2" t="s">
        <v>6063</v>
      </c>
      <c r="H1311" s="2" t="s">
        <v>6064</v>
      </c>
      <c r="I1311" s="2" t="s">
        <v>6064</v>
      </c>
      <c r="J1311" s="2" t="s">
        <v>6065</v>
      </c>
      <c r="K1311" s="2" t="s">
        <v>555</v>
      </c>
      <c r="L1311" s="2" t="s">
        <v>556</v>
      </c>
      <c r="M1311" s="2" t="s">
        <v>555</v>
      </c>
      <c r="N1311" s="2" t="s">
        <v>6066</v>
      </c>
      <c r="O1311" s="2">
        <v>4</v>
      </c>
      <c r="P1311" s="2">
        <v>12</v>
      </c>
      <c r="Q1311" s="2" t="s">
        <v>46</v>
      </c>
      <c r="R1311" s="2" t="s">
        <v>47</v>
      </c>
      <c r="S1311" s="2">
        <v>0</v>
      </c>
      <c r="T1311" s="2">
        <v>0</v>
      </c>
      <c r="U1311" s="2">
        <v>0</v>
      </c>
      <c r="V1311" s="2">
        <v>0</v>
      </c>
      <c r="W1311" s="2">
        <v>16</v>
      </c>
      <c r="X1311" s="2" t="s">
        <v>6067</v>
      </c>
      <c r="Y1311" s="2">
        <v>0</v>
      </c>
      <c r="Z1311" s="2">
        <v>16</v>
      </c>
      <c r="AA1311" s="2">
        <v>9</v>
      </c>
      <c r="AB1311" s="2">
        <v>2</v>
      </c>
      <c r="AC1311" s="2">
        <v>1</v>
      </c>
      <c r="AD1311" s="2">
        <v>1</v>
      </c>
      <c r="AE1311" s="2" t="s">
        <v>0</v>
      </c>
      <c r="AF1311" s="2">
        <v>2</v>
      </c>
      <c r="AG1311" s="2" t="s">
        <v>49</v>
      </c>
    </row>
    <row r="1312" spans="1:33" ht="25.5" x14ac:dyDescent="0.2">
      <c r="A1312" s="5" t="str">
        <f>HYPERLINK("http://www.patentics.cn/invokexml.do?sf=ShowPatent&amp;spn=US8938609&amp;sv=527ef16033d37c62be4a49d5dd168c50","US8938609")</f>
        <v>US8938609</v>
      </c>
      <c r="B1312" s="3" t="s">
        <v>5554</v>
      </c>
      <c r="C1312" s="3" t="s">
        <v>5555</v>
      </c>
      <c r="D1312" s="3" t="s">
        <v>52</v>
      </c>
      <c r="E1312" s="3" t="s">
        <v>52</v>
      </c>
      <c r="F1312" s="3" t="s">
        <v>5556</v>
      </c>
      <c r="G1312" s="3" t="s">
        <v>5556</v>
      </c>
      <c r="H1312" s="3" t="s">
        <v>5557</v>
      </c>
      <c r="I1312" s="3" t="s">
        <v>616</v>
      </c>
      <c r="J1312" s="3" t="s">
        <v>5558</v>
      </c>
      <c r="K1312" s="3" t="s">
        <v>555</v>
      </c>
      <c r="L1312" s="3" t="s">
        <v>5559</v>
      </c>
      <c r="M1312" s="3" t="s">
        <v>555</v>
      </c>
      <c r="N1312" s="3" t="s">
        <v>5560</v>
      </c>
      <c r="O1312" s="3">
        <v>0</v>
      </c>
      <c r="P1312" s="3">
        <v>12</v>
      </c>
      <c r="Q1312" s="3" t="s">
        <v>60</v>
      </c>
      <c r="R1312" s="3" t="s">
        <v>61</v>
      </c>
      <c r="S1312" s="3">
        <v>22</v>
      </c>
      <c r="T1312" s="3">
        <v>3</v>
      </c>
      <c r="U1312" s="3">
        <v>19</v>
      </c>
      <c r="V1312" s="3">
        <v>11</v>
      </c>
      <c r="W1312" s="3">
        <v>0</v>
      </c>
      <c r="X1312" s="3" t="s">
        <v>147</v>
      </c>
      <c r="Y1312" s="3">
        <v>0</v>
      </c>
      <c r="Z1312" s="3">
        <v>0</v>
      </c>
      <c r="AA1312" s="3">
        <v>0</v>
      </c>
      <c r="AB1312" s="3">
        <v>0</v>
      </c>
      <c r="AC1312" s="3">
        <v>8</v>
      </c>
      <c r="AD1312" s="3">
        <v>4</v>
      </c>
      <c r="AE1312" s="3">
        <v>14</v>
      </c>
      <c r="AF1312" s="3" t="s">
        <v>0</v>
      </c>
      <c r="AG1312" s="3" t="s">
        <v>49</v>
      </c>
    </row>
    <row r="1313" spans="1:33" ht="102" x14ac:dyDescent="0.2">
      <c r="A1313" s="5" t="str">
        <f>HYPERLINK("http://www.patentics.cn/invokexml.do?sf=ShowPatent&amp;spn=CN102640138B&amp;sv=b70624921fa4810f70d6a35fc1ad650c","CN102640138B")</f>
        <v>CN102640138B</v>
      </c>
      <c r="B1313" s="3" t="s">
        <v>5561</v>
      </c>
      <c r="C1313" s="3" t="s">
        <v>5562</v>
      </c>
      <c r="D1313" s="3" t="s">
        <v>338</v>
      </c>
      <c r="E1313" s="3" t="s">
        <v>338</v>
      </c>
      <c r="F1313" s="3" t="s">
        <v>5563</v>
      </c>
      <c r="G1313" s="3" t="s">
        <v>5564</v>
      </c>
      <c r="H1313" s="3" t="s">
        <v>5557</v>
      </c>
      <c r="I1313" s="3" t="s">
        <v>4813</v>
      </c>
      <c r="J1313" s="3" t="s">
        <v>1192</v>
      </c>
      <c r="K1313" s="3" t="s">
        <v>555</v>
      </c>
      <c r="L1313" s="3" t="s">
        <v>1271</v>
      </c>
      <c r="M1313" s="3" t="s">
        <v>0</v>
      </c>
      <c r="N1313" s="3" t="s">
        <v>0</v>
      </c>
      <c r="O1313" s="3">
        <v>36</v>
      </c>
      <c r="P1313" s="3">
        <v>11</v>
      </c>
      <c r="Q1313" s="3" t="s">
        <v>60</v>
      </c>
      <c r="R1313" s="3" t="s">
        <v>61</v>
      </c>
      <c r="S1313" s="3">
        <v>4</v>
      </c>
      <c r="T1313" s="3">
        <v>0</v>
      </c>
      <c r="U1313" s="3">
        <v>4</v>
      </c>
      <c r="V1313" s="3">
        <v>3</v>
      </c>
      <c r="W1313" s="3">
        <v>0</v>
      </c>
      <c r="X1313" s="3" t="s">
        <v>147</v>
      </c>
      <c r="Y1313" s="3">
        <v>0</v>
      </c>
      <c r="Z1313" s="3">
        <v>0</v>
      </c>
      <c r="AA1313" s="3">
        <v>0</v>
      </c>
      <c r="AB1313" s="3">
        <v>0</v>
      </c>
      <c r="AC1313" s="3">
        <v>8</v>
      </c>
      <c r="AD1313" s="3">
        <v>4</v>
      </c>
      <c r="AE1313" s="3">
        <v>14</v>
      </c>
      <c r="AF1313" s="3" t="s">
        <v>0</v>
      </c>
      <c r="AG1313" s="3" t="s">
        <v>49</v>
      </c>
    </row>
    <row r="1314" spans="1:33" ht="25.5" x14ac:dyDescent="0.2">
      <c r="A1314" s="4" t="str">
        <f>HYPERLINK("http://www.patentics.cn/invokexml.do?sf=ShowPatent&amp;spn=CN1499867&amp;sv=c97ea9753d93bc89b6fbfea724605ed9","CN1499867")</f>
        <v>CN1499867</v>
      </c>
      <c r="B1314" s="2" t="s">
        <v>6068</v>
      </c>
      <c r="C1314" s="2" t="s">
        <v>6069</v>
      </c>
      <c r="D1314" s="2" t="s">
        <v>37</v>
      </c>
      <c r="E1314" s="2" t="s">
        <v>38</v>
      </c>
      <c r="F1314" s="2" t="s">
        <v>6070</v>
      </c>
      <c r="G1314" s="2" t="s">
        <v>6071</v>
      </c>
      <c r="H1314" s="2" t="s">
        <v>6072</v>
      </c>
      <c r="I1314" s="2" t="s">
        <v>6072</v>
      </c>
      <c r="J1314" s="2" t="s">
        <v>6073</v>
      </c>
      <c r="K1314" s="2" t="s">
        <v>43</v>
      </c>
      <c r="L1314" s="2" t="s">
        <v>6074</v>
      </c>
      <c r="M1314" s="2" t="s">
        <v>84</v>
      </c>
      <c r="N1314" s="2" t="s">
        <v>6075</v>
      </c>
      <c r="O1314" s="2">
        <v>9</v>
      </c>
      <c r="P1314" s="2">
        <v>25</v>
      </c>
      <c r="Q1314" s="2" t="s">
        <v>46</v>
      </c>
      <c r="R1314" s="2" t="s">
        <v>47</v>
      </c>
      <c r="S1314" s="2">
        <v>3</v>
      </c>
      <c r="T1314" s="2">
        <v>0</v>
      </c>
      <c r="U1314" s="2">
        <v>3</v>
      </c>
      <c r="V1314" s="2">
        <v>3</v>
      </c>
      <c r="W1314" s="2">
        <v>15</v>
      </c>
      <c r="X1314" s="2" t="s">
        <v>6076</v>
      </c>
      <c r="Y1314" s="2">
        <v>3</v>
      </c>
      <c r="Z1314" s="2">
        <v>12</v>
      </c>
      <c r="AA1314" s="2">
        <v>10</v>
      </c>
      <c r="AB1314" s="2">
        <v>3</v>
      </c>
      <c r="AC1314" s="2">
        <v>1</v>
      </c>
      <c r="AD1314" s="2">
        <v>1</v>
      </c>
      <c r="AE1314" s="2" t="s">
        <v>0</v>
      </c>
      <c r="AF1314" s="2">
        <v>2</v>
      </c>
      <c r="AG1314" s="2" t="s">
        <v>49</v>
      </c>
    </row>
    <row r="1315" spans="1:33" ht="51" x14ac:dyDescent="0.2">
      <c r="A1315" s="5" t="str">
        <f>HYPERLINK("http://www.patentics.cn/invokexml.do?sf=ShowPatent&amp;spn=US8755476&amp;sv=23bb6f65ac002e615e9ad885ac0215fb","US8755476")</f>
        <v>US8755476</v>
      </c>
      <c r="B1315" s="3" t="s">
        <v>6077</v>
      </c>
      <c r="C1315" s="3" t="s">
        <v>6078</v>
      </c>
      <c r="D1315" s="3" t="s">
        <v>52</v>
      </c>
      <c r="E1315" s="3" t="s">
        <v>52</v>
      </c>
      <c r="F1315" s="3" t="s">
        <v>6079</v>
      </c>
      <c r="G1315" s="3" t="s">
        <v>6080</v>
      </c>
      <c r="H1315" s="3" t="s">
        <v>6081</v>
      </c>
      <c r="I1315" s="3" t="s">
        <v>6082</v>
      </c>
      <c r="J1315" s="3" t="s">
        <v>1622</v>
      </c>
      <c r="K1315" s="3" t="s">
        <v>84</v>
      </c>
      <c r="L1315" s="3" t="s">
        <v>6083</v>
      </c>
      <c r="M1315" s="3" t="s">
        <v>84</v>
      </c>
      <c r="N1315" s="3" t="s">
        <v>6084</v>
      </c>
      <c r="O1315" s="3">
        <v>0</v>
      </c>
      <c r="P1315" s="3">
        <v>14</v>
      </c>
      <c r="Q1315" s="3" t="s">
        <v>60</v>
      </c>
      <c r="R1315" s="3" t="s">
        <v>61</v>
      </c>
      <c r="S1315" s="3">
        <v>8</v>
      </c>
      <c r="T1315" s="3">
        <v>1</v>
      </c>
      <c r="U1315" s="3">
        <v>7</v>
      </c>
      <c r="V1315" s="3">
        <v>7</v>
      </c>
      <c r="W1315" s="3">
        <v>1</v>
      </c>
      <c r="X1315" s="3" t="s">
        <v>403</v>
      </c>
      <c r="Y1315" s="3">
        <v>1</v>
      </c>
      <c r="Z1315" s="3">
        <v>0</v>
      </c>
      <c r="AA1315" s="3">
        <v>1</v>
      </c>
      <c r="AB1315" s="3">
        <v>1</v>
      </c>
      <c r="AC1315" s="3">
        <v>9</v>
      </c>
      <c r="AD1315" s="3">
        <v>6</v>
      </c>
      <c r="AE1315" s="3">
        <v>14</v>
      </c>
      <c r="AF1315" s="3" t="s">
        <v>0</v>
      </c>
      <c r="AG1315" s="3" t="s">
        <v>49</v>
      </c>
    </row>
    <row r="1316" spans="1:33" ht="38.25" x14ac:dyDescent="0.2">
      <c r="A1316" s="5" t="str">
        <f>HYPERLINK("http://www.patentics.cn/invokexml.do?sf=ShowPatent&amp;spn=CN102362444B&amp;sv=ecc408c7bf1b8590ece82d9c673998fc","CN102362444B")</f>
        <v>CN102362444B</v>
      </c>
      <c r="B1316" s="3" t="s">
        <v>6085</v>
      </c>
      <c r="C1316" s="3" t="s">
        <v>6086</v>
      </c>
      <c r="D1316" s="3" t="s">
        <v>338</v>
      </c>
      <c r="E1316" s="3" t="s">
        <v>338</v>
      </c>
      <c r="F1316" s="3" t="s">
        <v>6087</v>
      </c>
      <c r="G1316" s="3" t="s">
        <v>6088</v>
      </c>
      <c r="H1316" s="3" t="s">
        <v>6081</v>
      </c>
      <c r="I1316" s="3" t="s">
        <v>4019</v>
      </c>
      <c r="J1316" s="3" t="s">
        <v>6089</v>
      </c>
      <c r="K1316" s="3" t="s">
        <v>58</v>
      </c>
      <c r="L1316" s="3" t="s">
        <v>249</v>
      </c>
      <c r="M1316" s="3" t="s">
        <v>0</v>
      </c>
      <c r="N1316" s="3" t="s">
        <v>0</v>
      </c>
      <c r="O1316" s="3">
        <v>25</v>
      </c>
      <c r="P1316" s="3">
        <v>13</v>
      </c>
      <c r="Q1316" s="3" t="s">
        <v>60</v>
      </c>
      <c r="R1316" s="3" t="s">
        <v>61</v>
      </c>
      <c r="S1316" s="3">
        <v>2</v>
      </c>
      <c r="T1316" s="3">
        <v>1</v>
      </c>
      <c r="U1316" s="3">
        <v>1</v>
      </c>
      <c r="V1316" s="3">
        <v>2</v>
      </c>
      <c r="W1316" s="3">
        <v>0</v>
      </c>
      <c r="X1316" s="3" t="s">
        <v>147</v>
      </c>
      <c r="Y1316" s="3">
        <v>0</v>
      </c>
      <c r="Z1316" s="3">
        <v>0</v>
      </c>
      <c r="AA1316" s="3">
        <v>0</v>
      </c>
      <c r="AB1316" s="3">
        <v>0</v>
      </c>
      <c r="AC1316" s="3">
        <v>9</v>
      </c>
      <c r="AD1316" s="3">
        <v>6</v>
      </c>
      <c r="AE1316" s="3">
        <v>14</v>
      </c>
      <c r="AF1316" s="3" t="s">
        <v>0</v>
      </c>
      <c r="AG1316" s="3" t="s">
        <v>49</v>
      </c>
    </row>
    <row r="1317" spans="1:33" ht="25.5" x14ac:dyDescent="0.2">
      <c r="A1317" s="4" t="str">
        <f>HYPERLINK("http://www.patentics.cn/invokexml.do?sf=ShowPatent&amp;spn=CN1360409&amp;sv=9603897755903e8e15db441b74cfd69f","CN1360409")</f>
        <v>CN1360409</v>
      </c>
      <c r="B1317" s="2" t="s">
        <v>6090</v>
      </c>
      <c r="C1317" s="2" t="s">
        <v>6091</v>
      </c>
      <c r="D1317" s="2" t="s">
        <v>37</v>
      </c>
      <c r="E1317" s="2" t="s">
        <v>38</v>
      </c>
      <c r="F1317" s="2" t="s">
        <v>6092</v>
      </c>
      <c r="G1317" s="2" t="s">
        <v>6093</v>
      </c>
      <c r="H1317" s="2" t="s">
        <v>0</v>
      </c>
      <c r="I1317" s="2" t="s">
        <v>6094</v>
      </c>
      <c r="J1317" s="2" t="s">
        <v>6095</v>
      </c>
      <c r="K1317" s="2" t="s">
        <v>70</v>
      </c>
      <c r="L1317" s="2" t="s">
        <v>3121</v>
      </c>
      <c r="M1317" s="2" t="s">
        <v>84</v>
      </c>
      <c r="N1317" s="2" t="s">
        <v>2183</v>
      </c>
      <c r="O1317" s="2">
        <v>10</v>
      </c>
      <c r="P1317" s="2">
        <v>24</v>
      </c>
      <c r="Q1317" s="2" t="s">
        <v>46</v>
      </c>
      <c r="R1317" s="2" t="s">
        <v>47</v>
      </c>
      <c r="S1317" s="2">
        <v>0</v>
      </c>
      <c r="T1317" s="2">
        <v>0</v>
      </c>
      <c r="U1317" s="2">
        <v>0</v>
      </c>
      <c r="V1317" s="2">
        <v>0</v>
      </c>
      <c r="W1317" s="2">
        <v>2</v>
      </c>
      <c r="X1317" s="2" t="s">
        <v>4474</v>
      </c>
      <c r="Y1317" s="2">
        <v>0</v>
      </c>
      <c r="Z1317" s="2">
        <v>2</v>
      </c>
      <c r="AA1317" s="2">
        <v>1</v>
      </c>
      <c r="AB1317" s="2">
        <v>1</v>
      </c>
      <c r="AC1317" s="2">
        <v>0</v>
      </c>
      <c r="AD1317" s="2">
        <v>0</v>
      </c>
      <c r="AE1317" s="2" t="s">
        <v>0</v>
      </c>
      <c r="AF1317" s="2">
        <v>2</v>
      </c>
      <c r="AG1317" s="2" t="s">
        <v>2523</v>
      </c>
    </row>
    <row r="1318" spans="1:33" ht="38.25" x14ac:dyDescent="0.2">
      <c r="A1318" s="5" t="str">
        <f>HYPERLINK("http://www.patentics.cn/invokexml.do?sf=ShowPatent&amp;spn=CN101842998B&amp;sv=f8fb8ec05b9602ff5a6b8ba6aa4d8de2","CN101842998B")</f>
        <v>CN101842998B</v>
      </c>
      <c r="B1318" s="3" t="s">
        <v>6096</v>
      </c>
      <c r="C1318" s="3" t="s">
        <v>6097</v>
      </c>
      <c r="D1318" s="3" t="s">
        <v>338</v>
      </c>
      <c r="E1318" s="3" t="s">
        <v>338</v>
      </c>
      <c r="F1318" s="3" t="s">
        <v>6098</v>
      </c>
      <c r="G1318" s="3" t="s">
        <v>2093</v>
      </c>
      <c r="H1318" s="3" t="s">
        <v>5763</v>
      </c>
      <c r="I1318" s="3" t="s">
        <v>1290</v>
      </c>
      <c r="J1318" s="3" t="s">
        <v>3085</v>
      </c>
      <c r="K1318" s="3" t="s">
        <v>84</v>
      </c>
      <c r="L1318" s="3" t="s">
        <v>6099</v>
      </c>
      <c r="M1318" s="3" t="s">
        <v>0</v>
      </c>
      <c r="N1318" s="3" t="s">
        <v>0</v>
      </c>
      <c r="O1318" s="3">
        <v>23</v>
      </c>
      <c r="P1318" s="3">
        <v>17</v>
      </c>
      <c r="Q1318" s="3" t="s">
        <v>60</v>
      </c>
      <c r="R1318" s="3" t="s">
        <v>61</v>
      </c>
      <c r="S1318" s="3">
        <v>4</v>
      </c>
      <c r="T1318" s="3">
        <v>2</v>
      </c>
      <c r="U1318" s="3">
        <v>2</v>
      </c>
      <c r="V1318" s="3">
        <v>3</v>
      </c>
      <c r="W1318" s="3">
        <v>0</v>
      </c>
      <c r="X1318" s="3" t="s">
        <v>147</v>
      </c>
      <c r="Y1318" s="3">
        <v>0</v>
      </c>
      <c r="Z1318" s="3">
        <v>0</v>
      </c>
      <c r="AA1318" s="3">
        <v>0</v>
      </c>
      <c r="AB1318" s="3">
        <v>0</v>
      </c>
      <c r="AC1318" s="3">
        <v>20</v>
      </c>
      <c r="AD1318" s="3">
        <v>7</v>
      </c>
      <c r="AE1318" s="3">
        <v>14</v>
      </c>
      <c r="AF1318" s="3" t="s">
        <v>0</v>
      </c>
      <c r="AG1318" s="3" t="s">
        <v>49</v>
      </c>
    </row>
    <row r="1319" spans="1:33" ht="38.25" x14ac:dyDescent="0.2">
      <c r="A1319" s="5" t="str">
        <f>HYPERLINK("http://www.patentics.cn/invokexml.do?sf=ShowPatent&amp;spn=CN103199888B&amp;sv=7694b14b25fb6a282180a2e73022f65d","CN103199888B")</f>
        <v>CN103199888B</v>
      </c>
      <c r="B1319" s="3" t="s">
        <v>6100</v>
      </c>
      <c r="C1319" s="3" t="s">
        <v>6101</v>
      </c>
      <c r="D1319" s="3" t="s">
        <v>338</v>
      </c>
      <c r="E1319" s="3" t="s">
        <v>338</v>
      </c>
      <c r="F1319" s="3" t="s">
        <v>6098</v>
      </c>
      <c r="G1319" s="3" t="s">
        <v>2093</v>
      </c>
      <c r="H1319" s="3" t="s">
        <v>5763</v>
      </c>
      <c r="I1319" s="3" t="s">
        <v>1290</v>
      </c>
      <c r="J1319" s="3" t="s">
        <v>5682</v>
      </c>
      <c r="K1319" s="3" t="s">
        <v>84</v>
      </c>
      <c r="L1319" s="3" t="s">
        <v>6102</v>
      </c>
      <c r="M1319" s="3" t="s">
        <v>0</v>
      </c>
      <c r="N1319" s="3" t="s">
        <v>0</v>
      </c>
      <c r="O1319" s="3">
        <v>16</v>
      </c>
      <c r="P1319" s="3">
        <v>12</v>
      </c>
      <c r="Q1319" s="3" t="s">
        <v>60</v>
      </c>
      <c r="R1319" s="3" t="s">
        <v>61</v>
      </c>
      <c r="S1319" s="3">
        <v>5</v>
      </c>
      <c r="T1319" s="3">
        <v>3</v>
      </c>
      <c r="U1319" s="3">
        <v>2</v>
      </c>
      <c r="V1319" s="3">
        <v>3</v>
      </c>
      <c r="W1319" s="3">
        <v>0</v>
      </c>
      <c r="X1319" s="3" t="s">
        <v>147</v>
      </c>
      <c r="Y1319" s="3">
        <v>0</v>
      </c>
      <c r="Z1319" s="3">
        <v>0</v>
      </c>
      <c r="AA1319" s="3">
        <v>0</v>
      </c>
      <c r="AB1319" s="3">
        <v>0</v>
      </c>
      <c r="AC1319" s="3">
        <v>0</v>
      </c>
      <c r="AD1319" s="3">
        <v>0</v>
      </c>
      <c r="AE1319" s="3">
        <v>14</v>
      </c>
      <c r="AF1319" s="3" t="s">
        <v>0</v>
      </c>
      <c r="AG1319" s="3" t="s">
        <v>49</v>
      </c>
    </row>
    <row r="1320" spans="1:33" ht="51" x14ac:dyDescent="0.2">
      <c r="A1320" s="4" t="str">
        <f>HYPERLINK("http://www.patentics.cn/invokexml.do?sf=ShowPatent&amp;spn=CN1349325&amp;sv=baced1cce843166ac03842eb3c1ba61f","CN1349325")</f>
        <v>CN1349325</v>
      </c>
      <c r="B1320" s="2" t="s">
        <v>6103</v>
      </c>
      <c r="C1320" s="2" t="s">
        <v>6104</v>
      </c>
      <c r="D1320" s="2" t="s">
        <v>37</v>
      </c>
      <c r="E1320" s="2" t="s">
        <v>38</v>
      </c>
      <c r="F1320" s="2" t="s">
        <v>6105</v>
      </c>
      <c r="G1320" s="2" t="s">
        <v>6106</v>
      </c>
      <c r="H1320" s="2" t="s">
        <v>6107</v>
      </c>
      <c r="I1320" s="2" t="s">
        <v>6107</v>
      </c>
      <c r="J1320" s="2" t="s">
        <v>6108</v>
      </c>
      <c r="K1320" s="2" t="s">
        <v>70</v>
      </c>
      <c r="L1320" s="2" t="s">
        <v>6109</v>
      </c>
      <c r="M1320" s="2" t="s">
        <v>84</v>
      </c>
      <c r="N1320" s="2" t="s">
        <v>2063</v>
      </c>
      <c r="O1320" s="2">
        <v>1</v>
      </c>
      <c r="P1320" s="2">
        <v>182</v>
      </c>
      <c r="Q1320" s="2" t="s">
        <v>46</v>
      </c>
      <c r="R1320" s="2" t="s">
        <v>47</v>
      </c>
      <c r="S1320" s="2">
        <v>0</v>
      </c>
      <c r="T1320" s="2">
        <v>0</v>
      </c>
      <c r="U1320" s="2">
        <v>0</v>
      </c>
      <c r="V1320" s="2">
        <v>0</v>
      </c>
      <c r="W1320" s="2">
        <v>19</v>
      </c>
      <c r="X1320" s="2" t="s">
        <v>6110</v>
      </c>
      <c r="Y1320" s="2">
        <v>2</v>
      </c>
      <c r="Z1320" s="2">
        <v>17</v>
      </c>
      <c r="AA1320" s="2">
        <v>14</v>
      </c>
      <c r="AB1320" s="2">
        <v>3</v>
      </c>
      <c r="AC1320" s="2">
        <v>1</v>
      </c>
      <c r="AD1320" s="2">
        <v>1</v>
      </c>
      <c r="AE1320" s="2" t="s">
        <v>0</v>
      </c>
      <c r="AF1320" s="2">
        <v>2</v>
      </c>
      <c r="AG1320" s="2" t="s">
        <v>49</v>
      </c>
    </row>
    <row r="1321" spans="1:33" ht="63.75" x14ac:dyDescent="0.2">
      <c r="A1321" s="5" t="str">
        <f>HYPERLINK("http://www.patentics.cn/invokexml.do?sf=ShowPatent&amp;spn=US8755357&amp;sv=e1fe40d66a3ed00739987027f750f06a","US8755357")</f>
        <v>US8755357</v>
      </c>
      <c r="B1321" s="3" t="s">
        <v>6111</v>
      </c>
      <c r="C1321" s="3" t="s">
        <v>6112</v>
      </c>
      <c r="D1321" s="3" t="s">
        <v>52</v>
      </c>
      <c r="E1321" s="3" t="s">
        <v>52</v>
      </c>
      <c r="F1321" s="3" t="s">
        <v>6113</v>
      </c>
      <c r="G1321" s="3" t="s">
        <v>6114</v>
      </c>
      <c r="H1321" s="3" t="s">
        <v>6115</v>
      </c>
      <c r="I1321" s="3" t="s">
        <v>6116</v>
      </c>
      <c r="J1321" s="3" t="s">
        <v>1622</v>
      </c>
      <c r="K1321" s="3" t="s">
        <v>82</v>
      </c>
      <c r="L1321" s="3" t="s">
        <v>83</v>
      </c>
      <c r="M1321" s="3" t="s">
        <v>84</v>
      </c>
      <c r="N1321" s="3" t="s">
        <v>6117</v>
      </c>
      <c r="O1321" s="3">
        <v>0</v>
      </c>
      <c r="P1321" s="3">
        <v>14</v>
      </c>
      <c r="Q1321" s="3" t="s">
        <v>60</v>
      </c>
      <c r="R1321" s="3" t="s">
        <v>61</v>
      </c>
      <c r="S1321" s="3">
        <v>54</v>
      </c>
      <c r="T1321" s="3">
        <v>3</v>
      </c>
      <c r="U1321" s="3">
        <v>51</v>
      </c>
      <c r="V1321" s="3">
        <v>25</v>
      </c>
      <c r="W1321" s="3">
        <v>0</v>
      </c>
      <c r="X1321" s="3" t="s">
        <v>147</v>
      </c>
      <c r="Y1321" s="3">
        <v>0</v>
      </c>
      <c r="Z1321" s="3">
        <v>0</v>
      </c>
      <c r="AA1321" s="3">
        <v>0</v>
      </c>
      <c r="AB1321" s="3">
        <v>0</v>
      </c>
      <c r="AC1321" s="3">
        <v>37</v>
      </c>
      <c r="AD1321" s="3">
        <v>19</v>
      </c>
      <c r="AE1321" s="3">
        <v>14</v>
      </c>
      <c r="AF1321" s="3" t="s">
        <v>0</v>
      </c>
      <c r="AG1321" s="3" t="s">
        <v>49</v>
      </c>
    </row>
    <row r="1322" spans="1:33" ht="38.25" x14ac:dyDescent="0.2">
      <c r="A1322" s="5" t="str">
        <f>HYPERLINK("http://www.patentics.cn/invokexml.do?sf=ShowPatent&amp;spn=CN102647222B&amp;sv=d481c059cd9d2b9102b3e8f9a5a82353","CN102647222B")</f>
        <v>CN102647222B</v>
      </c>
      <c r="B1322" s="3" t="s">
        <v>6118</v>
      </c>
      <c r="C1322" s="3" t="s">
        <v>6119</v>
      </c>
      <c r="D1322" s="3" t="s">
        <v>338</v>
      </c>
      <c r="E1322" s="3" t="s">
        <v>338</v>
      </c>
      <c r="F1322" s="3" t="s">
        <v>6120</v>
      </c>
      <c r="G1322" s="3" t="s">
        <v>6121</v>
      </c>
      <c r="H1322" s="3" t="s">
        <v>6115</v>
      </c>
      <c r="I1322" s="3" t="s">
        <v>5890</v>
      </c>
      <c r="J1322" s="3" t="s">
        <v>1766</v>
      </c>
      <c r="K1322" s="3" t="s">
        <v>84</v>
      </c>
      <c r="L1322" s="3" t="s">
        <v>401</v>
      </c>
      <c r="M1322" s="3" t="s">
        <v>0</v>
      </c>
      <c r="N1322" s="3" t="s">
        <v>0</v>
      </c>
      <c r="O1322" s="3">
        <v>27</v>
      </c>
      <c r="P1322" s="3">
        <v>16</v>
      </c>
      <c r="Q1322" s="3" t="s">
        <v>60</v>
      </c>
      <c r="R1322" s="3" t="s">
        <v>61</v>
      </c>
      <c r="S1322" s="3">
        <v>4</v>
      </c>
      <c r="T1322" s="3">
        <v>1</v>
      </c>
      <c r="U1322" s="3">
        <v>3</v>
      </c>
      <c r="V1322" s="3">
        <v>4</v>
      </c>
      <c r="W1322" s="3">
        <v>0</v>
      </c>
      <c r="X1322" s="3" t="s">
        <v>147</v>
      </c>
      <c r="Y1322" s="3">
        <v>0</v>
      </c>
      <c r="Z1322" s="3">
        <v>0</v>
      </c>
      <c r="AA1322" s="3">
        <v>0</v>
      </c>
      <c r="AB1322" s="3">
        <v>0</v>
      </c>
      <c r="AC1322" s="3">
        <v>37</v>
      </c>
      <c r="AD1322" s="3">
        <v>19</v>
      </c>
      <c r="AE1322" s="3">
        <v>14</v>
      </c>
      <c r="AF1322" s="3" t="s">
        <v>0</v>
      </c>
      <c r="AG1322" s="3" t="s">
        <v>49</v>
      </c>
    </row>
    <row r="1323" spans="1:33" ht="38.25" x14ac:dyDescent="0.2">
      <c r="A1323" s="4" t="str">
        <f>HYPERLINK("http://www.patentics.cn/invokexml.do?sf=ShowPatent&amp;spn=CN1264228&amp;sv=7d8715c80cb6ee87e477a75c5d758a36","CN1264228")</f>
        <v>CN1264228</v>
      </c>
      <c r="B1323" s="2" t="s">
        <v>6122</v>
      </c>
      <c r="C1323" s="2" t="s">
        <v>6123</v>
      </c>
      <c r="D1323" s="2" t="s">
        <v>37</v>
      </c>
      <c r="E1323" s="2" t="s">
        <v>38</v>
      </c>
      <c r="F1323" s="2" t="s">
        <v>6124</v>
      </c>
      <c r="G1323" s="2" t="s">
        <v>6125</v>
      </c>
      <c r="H1323" s="2" t="s">
        <v>6126</v>
      </c>
      <c r="I1323" s="2" t="s">
        <v>6126</v>
      </c>
      <c r="J1323" s="2" t="s">
        <v>6127</v>
      </c>
      <c r="K1323" s="2" t="s">
        <v>70</v>
      </c>
      <c r="L1323" s="2" t="s">
        <v>3121</v>
      </c>
      <c r="M1323" s="2" t="s">
        <v>84</v>
      </c>
      <c r="N1323" s="2" t="s">
        <v>2604</v>
      </c>
      <c r="O1323" s="2">
        <v>2</v>
      </c>
      <c r="P1323" s="2">
        <v>14</v>
      </c>
      <c r="Q1323" s="2" t="s">
        <v>46</v>
      </c>
      <c r="R1323" s="2" t="s">
        <v>47</v>
      </c>
      <c r="S1323" s="2">
        <v>3</v>
      </c>
      <c r="T1323" s="2">
        <v>2</v>
      </c>
      <c r="U1323" s="2">
        <v>1</v>
      </c>
      <c r="V1323" s="2">
        <v>2</v>
      </c>
      <c r="W1323" s="2">
        <v>17</v>
      </c>
      <c r="X1323" s="2" t="s">
        <v>6128</v>
      </c>
      <c r="Y1323" s="2">
        <v>4</v>
      </c>
      <c r="Z1323" s="2">
        <v>13</v>
      </c>
      <c r="AA1323" s="2">
        <v>12</v>
      </c>
      <c r="AB1323" s="2">
        <v>3</v>
      </c>
      <c r="AC1323" s="2">
        <v>1</v>
      </c>
      <c r="AD1323" s="2">
        <v>1</v>
      </c>
      <c r="AE1323" s="2" t="s">
        <v>0</v>
      </c>
      <c r="AF1323" s="2">
        <v>2</v>
      </c>
      <c r="AG1323" s="2" t="s">
        <v>49</v>
      </c>
    </row>
    <row r="1324" spans="1:33" ht="38.25" x14ac:dyDescent="0.2">
      <c r="A1324" s="5" t="str">
        <f>HYPERLINK("http://www.patentics.cn/invokexml.do?sf=ShowPatent&amp;spn=CN100583858C&amp;sv=059265c90b3285919b810377bdb843e2","CN100583858C")</f>
        <v>CN100583858C</v>
      </c>
      <c r="B1324" s="3" t="s">
        <v>6129</v>
      </c>
      <c r="C1324" s="3" t="s">
        <v>6130</v>
      </c>
      <c r="D1324" s="3" t="s">
        <v>338</v>
      </c>
      <c r="E1324" s="3" t="s">
        <v>338</v>
      </c>
      <c r="F1324" s="3" t="s">
        <v>6131</v>
      </c>
      <c r="G1324" s="3" t="s">
        <v>6132</v>
      </c>
      <c r="H1324" s="3" t="s">
        <v>6133</v>
      </c>
      <c r="I1324" s="3" t="s">
        <v>6134</v>
      </c>
      <c r="J1324" s="3" t="s">
        <v>6135</v>
      </c>
      <c r="K1324" s="3" t="s">
        <v>58</v>
      </c>
      <c r="L1324" s="3" t="s">
        <v>257</v>
      </c>
      <c r="M1324" s="3" t="s">
        <v>0</v>
      </c>
      <c r="N1324" s="3" t="s">
        <v>0</v>
      </c>
      <c r="O1324" s="3">
        <v>31</v>
      </c>
      <c r="P1324" s="3">
        <v>14</v>
      </c>
      <c r="Q1324" s="3" t="s">
        <v>60</v>
      </c>
      <c r="R1324" s="3" t="s">
        <v>61</v>
      </c>
      <c r="S1324" s="3">
        <v>6</v>
      </c>
      <c r="T1324" s="3">
        <v>2</v>
      </c>
      <c r="U1324" s="3">
        <v>4</v>
      </c>
      <c r="V1324" s="3">
        <v>4</v>
      </c>
      <c r="W1324" s="3">
        <v>0</v>
      </c>
      <c r="X1324" s="3" t="s">
        <v>147</v>
      </c>
      <c r="Y1324" s="3">
        <v>0</v>
      </c>
      <c r="Z1324" s="3">
        <v>0</v>
      </c>
      <c r="AA1324" s="3">
        <v>0</v>
      </c>
      <c r="AB1324" s="3">
        <v>0</v>
      </c>
      <c r="AC1324" s="3">
        <v>13</v>
      </c>
      <c r="AD1324" s="3">
        <v>8</v>
      </c>
      <c r="AE1324" s="3">
        <v>14</v>
      </c>
      <c r="AF1324" s="3" t="s">
        <v>0</v>
      </c>
      <c r="AG1324" s="3" t="s">
        <v>49</v>
      </c>
    </row>
    <row r="1325" spans="1:33" ht="38.25" x14ac:dyDescent="0.2">
      <c r="A1325" s="5" t="str">
        <f>HYPERLINK("http://www.patentics.cn/invokexml.do?sf=ShowPatent&amp;spn=CN101931432B&amp;sv=f3dd23333e99cb6befab67f2ed2db535","CN101931432B")</f>
        <v>CN101931432B</v>
      </c>
      <c r="B1325" s="3" t="s">
        <v>6136</v>
      </c>
      <c r="C1325" s="3" t="s">
        <v>6130</v>
      </c>
      <c r="D1325" s="3" t="s">
        <v>338</v>
      </c>
      <c r="E1325" s="3" t="s">
        <v>338</v>
      </c>
      <c r="F1325" s="3" t="s">
        <v>6131</v>
      </c>
      <c r="G1325" s="3" t="s">
        <v>6132</v>
      </c>
      <c r="H1325" s="3" t="s">
        <v>6133</v>
      </c>
      <c r="I1325" s="3" t="s">
        <v>6134</v>
      </c>
      <c r="J1325" s="3" t="s">
        <v>5165</v>
      </c>
      <c r="K1325" s="3" t="s">
        <v>58</v>
      </c>
      <c r="L1325" s="3" t="s">
        <v>6137</v>
      </c>
      <c r="M1325" s="3" t="s">
        <v>0</v>
      </c>
      <c r="N1325" s="3" t="s">
        <v>0</v>
      </c>
      <c r="O1325" s="3">
        <v>8</v>
      </c>
      <c r="P1325" s="3">
        <v>23</v>
      </c>
      <c r="Q1325" s="3" t="s">
        <v>60</v>
      </c>
      <c r="R1325" s="3" t="s">
        <v>61</v>
      </c>
      <c r="S1325" s="3">
        <v>7</v>
      </c>
      <c r="T1325" s="3">
        <v>2</v>
      </c>
      <c r="U1325" s="3">
        <v>5</v>
      </c>
      <c r="V1325" s="3">
        <v>6</v>
      </c>
      <c r="W1325" s="3">
        <v>0</v>
      </c>
      <c r="X1325" s="3" t="s">
        <v>147</v>
      </c>
      <c r="Y1325" s="3">
        <v>0</v>
      </c>
      <c r="Z1325" s="3">
        <v>0</v>
      </c>
      <c r="AA1325" s="3">
        <v>0</v>
      </c>
      <c r="AB1325" s="3">
        <v>0</v>
      </c>
      <c r="AC1325" s="3">
        <v>13</v>
      </c>
      <c r="AD1325" s="3">
        <v>8</v>
      </c>
      <c r="AE1325" s="3">
        <v>14</v>
      </c>
      <c r="AF1325" s="3" t="s">
        <v>0</v>
      </c>
      <c r="AG1325" s="3" t="s">
        <v>49</v>
      </c>
    </row>
    <row r="1326" spans="1:33" ht="38.25" x14ac:dyDescent="0.2">
      <c r="A1326" s="4" t="str">
        <f>HYPERLINK("http://www.patentics.cn/invokexml.do?sf=ShowPatent&amp;spn=US20130219476&amp;sv=30f32e79145dd873e640344d47cc834e","US20130219476")</f>
        <v>US20130219476</v>
      </c>
      <c r="B1326" s="2" t="s">
        <v>6138</v>
      </c>
      <c r="C1326" s="2" t="s">
        <v>6139</v>
      </c>
      <c r="D1326" s="2" t="s">
        <v>346</v>
      </c>
      <c r="E1326" s="2" t="s">
        <v>346</v>
      </c>
      <c r="F1326" s="2" t="s">
        <v>6140</v>
      </c>
      <c r="G1326" s="2" t="s">
        <v>6141</v>
      </c>
      <c r="H1326" s="2" t="s">
        <v>3154</v>
      </c>
      <c r="I1326" s="2" t="s">
        <v>6142</v>
      </c>
      <c r="J1326" s="2" t="s">
        <v>6143</v>
      </c>
      <c r="K1326" s="2" t="s">
        <v>58</v>
      </c>
      <c r="L1326" s="2" t="s">
        <v>722</v>
      </c>
      <c r="M1326" s="2" t="s">
        <v>58</v>
      </c>
      <c r="N1326" s="2" t="s">
        <v>1256</v>
      </c>
      <c r="O1326" s="2">
        <v>24</v>
      </c>
      <c r="P1326" s="2">
        <v>12</v>
      </c>
      <c r="Q1326" s="2" t="s">
        <v>352</v>
      </c>
      <c r="R1326" s="2" t="s">
        <v>47</v>
      </c>
      <c r="S1326" s="2">
        <v>0</v>
      </c>
      <c r="T1326" s="2">
        <v>0</v>
      </c>
      <c r="U1326" s="2">
        <v>0</v>
      </c>
      <c r="V1326" s="2">
        <v>0</v>
      </c>
      <c r="W1326" s="2">
        <v>7</v>
      </c>
      <c r="X1326" s="2" t="s">
        <v>3177</v>
      </c>
      <c r="Y1326" s="2">
        <v>0</v>
      </c>
      <c r="Z1326" s="2">
        <v>7</v>
      </c>
      <c r="AA1326" s="2">
        <v>5</v>
      </c>
      <c r="AB1326" s="2">
        <v>1</v>
      </c>
      <c r="AC1326" s="2">
        <v>4</v>
      </c>
      <c r="AD1326" s="2">
        <v>4</v>
      </c>
      <c r="AE1326" s="2" t="s">
        <v>0</v>
      </c>
      <c r="AF1326" s="2">
        <v>2</v>
      </c>
      <c r="AG1326" s="2" t="s">
        <v>49</v>
      </c>
    </row>
    <row r="1327" spans="1:33" ht="114.75" x14ac:dyDescent="0.2">
      <c r="A1327" s="5" t="str">
        <f>HYPERLINK("http://www.patentics.cn/invokexml.do?sf=ShowPatent&amp;spn=US9116893&amp;sv=93bc1e99901d2265192d2e709f051bf3","US9116893")</f>
        <v>US9116893</v>
      </c>
      <c r="B1327" s="3" t="s">
        <v>6144</v>
      </c>
      <c r="C1327" s="3" t="s">
        <v>6145</v>
      </c>
      <c r="D1327" s="3" t="s">
        <v>52</v>
      </c>
      <c r="E1327" s="3" t="s">
        <v>52</v>
      </c>
      <c r="F1327" s="3" t="s">
        <v>6146</v>
      </c>
      <c r="G1327" s="3" t="s">
        <v>6147</v>
      </c>
      <c r="H1327" s="3" t="s">
        <v>6142</v>
      </c>
      <c r="I1327" s="3" t="s">
        <v>3176</v>
      </c>
      <c r="J1327" s="3" t="s">
        <v>1085</v>
      </c>
      <c r="K1327" s="3" t="s">
        <v>555</v>
      </c>
      <c r="L1327" s="3" t="s">
        <v>6148</v>
      </c>
      <c r="M1327" s="3" t="s">
        <v>0</v>
      </c>
      <c r="N1327" s="3" t="s">
        <v>0</v>
      </c>
      <c r="O1327" s="3">
        <v>0</v>
      </c>
      <c r="P1327" s="3">
        <v>13</v>
      </c>
      <c r="Q1327" s="3" t="s">
        <v>60</v>
      </c>
      <c r="R1327" s="3" t="s">
        <v>61</v>
      </c>
      <c r="S1327" s="3">
        <v>95</v>
      </c>
      <c r="T1327" s="3">
        <v>11</v>
      </c>
      <c r="U1327" s="3">
        <v>84</v>
      </c>
      <c r="V1327" s="3">
        <v>45</v>
      </c>
      <c r="W1327" s="3">
        <v>1</v>
      </c>
      <c r="X1327" s="3" t="s">
        <v>147</v>
      </c>
      <c r="Y1327" s="3">
        <v>0</v>
      </c>
      <c r="Z1327" s="3">
        <v>1</v>
      </c>
      <c r="AA1327" s="3">
        <v>1</v>
      </c>
      <c r="AB1327" s="3">
        <v>1</v>
      </c>
      <c r="AC1327" s="3">
        <v>6</v>
      </c>
      <c r="AD1327" s="3">
        <v>6</v>
      </c>
      <c r="AE1327" s="3">
        <v>14</v>
      </c>
      <c r="AF1327" s="3" t="s">
        <v>0</v>
      </c>
      <c r="AG1327" s="3" t="s">
        <v>49</v>
      </c>
    </row>
    <row r="1328" spans="1:33" ht="102" x14ac:dyDescent="0.2">
      <c r="A1328" s="5" t="str">
        <f>HYPERLINK("http://www.patentics.cn/invokexml.do?sf=ShowPatent&amp;spn=US9148381&amp;sv=e06303af36cd271763e36be8847e8d13","US9148381")</f>
        <v>US9148381</v>
      </c>
      <c r="B1328" s="3" t="s">
        <v>6149</v>
      </c>
      <c r="C1328" s="3" t="s">
        <v>6150</v>
      </c>
      <c r="D1328" s="3" t="s">
        <v>52</v>
      </c>
      <c r="E1328" s="3" t="s">
        <v>52</v>
      </c>
      <c r="F1328" s="3" t="s">
        <v>6151</v>
      </c>
      <c r="G1328" s="3" t="s">
        <v>6152</v>
      </c>
      <c r="H1328" s="3" t="s">
        <v>6142</v>
      </c>
      <c r="I1328" s="3" t="s">
        <v>3176</v>
      </c>
      <c r="J1328" s="3" t="s">
        <v>248</v>
      </c>
      <c r="K1328" s="3" t="s">
        <v>555</v>
      </c>
      <c r="L1328" s="3" t="s">
        <v>556</v>
      </c>
      <c r="M1328" s="3" t="s">
        <v>58</v>
      </c>
      <c r="N1328" s="3" t="s">
        <v>6153</v>
      </c>
      <c r="O1328" s="3">
        <v>0</v>
      </c>
      <c r="P1328" s="3">
        <v>7</v>
      </c>
      <c r="Q1328" s="3" t="s">
        <v>60</v>
      </c>
      <c r="R1328" s="3" t="s">
        <v>61</v>
      </c>
      <c r="S1328" s="3">
        <v>101</v>
      </c>
      <c r="T1328" s="3">
        <v>17</v>
      </c>
      <c r="U1328" s="3">
        <v>84</v>
      </c>
      <c r="V1328" s="3">
        <v>45</v>
      </c>
      <c r="W1328" s="3">
        <v>0</v>
      </c>
      <c r="X1328" s="3" t="s">
        <v>147</v>
      </c>
      <c r="Y1328" s="3">
        <v>0</v>
      </c>
      <c r="Z1328" s="3">
        <v>0</v>
      </c>
      <c r="AA1328" s="3">
        <v>0</v>
      </c>
      <c r="AB1328" s="3">
        <v>0</v>
      </c>
      <c r="AC1328" s="3">
        <v>6</v>
      </c>
      <c r="AD1328" s="3">
        <v>6</v>
      </c>
      <c r="AE1328" s="3">
        <v>14</v>
      </c>
      <c r="AF1328" s="3" t="s">
        <v>0</v>
      </c>
      <c r="AG1328" s="3" t="s">
        <v>49</v>
      </c>
    </row>
    <row r="1329" spans="1:33" ht="38.25" x14ac:dyDescent="0.2">
      <c r="A1329" s="4" t="str">
        <f>HYPERLINK("http://www.patentics.cn/invokexml.do?sf=ShowPatent&amp;spn=US20130208678&amp;sv=5a00415a3275e8f8a0d8cb9ebf0abdf4","US20130208678")</f>
        <v>US20130208678</v>
      </c>
      <c r="B1329" s="2" t="s">
        <v>6154</v>
      </c>
      <c r="C1329" s="2" t="s">
        <v>6155</v>
      </c>
      <c r="D1329" s="2" t="s">
        <v>346</v>
      </c>
      <c r="E1329" s="2" t="s">
        <v>346</v>
      </c>
      <c r="F1329" s="2" t="s">
        <v>3297</v>
      </c>
      <c r="G1329" s="2" t="s">
        <v>3297</v>
      </c>
      <c r="H1329" s="2" t="s">
        <v>3181</v>
      </c>
      <c r="I1329" s="2" t="s">
        <v>5235</v>
      </c>
      <c r="J1329" s="2" t="s">
        <v>6156</v>
      </c>
      <c r="K1329" s="2" t="s">
        <v>82</v>
      </c>
      <c r="L1329" s="2" t="s">
        <v>244</v>
      </c>
      <c r="M1329" s="2" t="s">
        <v>82</v>
      </c>
      <c r="N1329" s="2" t="s">
        <v>245</v>
      </c>
      <c r="O1329" s="2">
        <v>24</v>
      </c>
      <c r="P1329" s="2">
        <v>19</v>
      </c>
      <c r="Q1329" s="2" t="s">
        <v>352</v>
      </c>
      <c r="R1329" s="2" t="s">
        <v>61</v>
      </c>
      <c r="S1329" s="2">
        <v>0</v>
      </c>
      <c r="T1329" s="2">
        <v>0</v>
      </c>
      <c r="U1329" s="2">
        <v>0</v>
      </c>
      <c r="V1329" s="2">
        <v>0</v>
      </c>
      <c r="W1329" s="2">
        <v>11</v>
      </c>
      <c r="X1329" s="2" t="s">
        <v>1589</v>
      </c>
      <c r="Y1329" s="2">
        <v>0</v>
      </c>
      <c r="Z1329" s="2">
        <v>11</v>
      </c>
      <c r="AA1329" s="2">
        <v>6</v>
      </c>
      <c r="AB1329" s="2">
        <v>1</v>
      </c>
      <c r="AC1329" s="2">
        <v>11</v>
      </c>
      <c r="AD1329" s="2">
        <v>8</v>
      </c>
      <c r="AE1329" s="2" t="s">
        <v>0</v>
      </c>
      <c r="AF1329" s="2">
        <v>2</v>
      </c>
      <c r="AG1329" s="2" t="s">
        <v>49</v>
      </c>
    </row>
    <row r="1330" spans="1:33" ht="63.75" x14ac:dyDescent="0.2">
      <c r="A1330" s="5" t="str">
        <f>HYPERLINK("http://www.patentics.cn/invokexml.do?sf=ShowPatent&amp;spn=US8964663&amp;sv=d441bb74a30a2769cd41c117fcc4bef1","US8964663")</f>
        <v>US8964663</v>
      </c>
      <c r="B1330" s="3" t="s">
        <v>6157</v>
      </c>
      <c r="C1330" s="3" t="s">
        <v>6158</v>
      </c>
      <c r="D1330" s="3" t="s">
        <v>52</v>
      </c>
      <c r="E1330" s="3" t="s">
        <v>52</v>
      </c>
      <c r="F1330" s="3" t="s">
        <v>3737</v>
      </c>
      <c r="G1330" s="3" t="s">
        <v>2871</v>
      </c>
      <c r="H1330" s="3" t="s">
        <v>604</v>
      </c>
      <c r="I1330" s="3" t="s">
        <v>6159</v>
      </c>
      <c r="J1330" s="3" t="s">
        <v>805</v>
      </c>
      <c r="K1330" s="3" t="s">
        <v>70</v>
      </c>
      <c r="L1330" s="3" t="s">
        <v>6160</v>
      </c>
      <c r="M1330" s="3" t="s">
        <v>82</v>
      </c>
      <c r="N1330" s="3" t="s">
        <v>1454</v>
      </c>
      <c r="O1330" s="3">
        <v>0</v>
      </c>
      <c r="P1330" s="3">
        <v>19</v>
      </c>
      <c r="Q1330" s="3" t="s">
        <v>60</v>
      </c>
      <c r="R1330" s="3" t="s">
        <v>61</v>
      </c>
      <c r="S1330" s="3">
        <v>32</v>
      </c>
      <c r="T1330" s="3">
        <v>1</v>
      </c>
      <c r="U1330" s="3">
        <v>31</v>
      </c>
      <c r="V1330" s="3">
        <v>17</v>
      </c>
      <c r="W1330" s="3">
        <v>1</v>
      </c>
      <c r="X1330" s="3" t="s">
        <v>1186</v>
      </c>
      <c r="Y1330" s="3">
        <v>0</v>
      </c>
      <c r="Z1330" s="3">
        <v>1</v>
      </c>
      <c r="AA1330" s="3">
        <v>1</v>
      </c>
      <c r="AB1330" s="3">
        <v>1</v>
      </c>
      <c r="AC1330" s="3">
        <v>7</v>
      </c>
      <c r="AD1330" s="3">
        <v>6</v>
      </c>
      <c r="AE1330" s="3">
        <v>14</v>
      </c>
      <c r="AF1330" s="3" t="s">
        <v>0</v>
      </c>
      <c r="AG1330" s="3" t="s">
        <v>49</v>
      </c>
    </row>
    <row r="1331" spans="1:33" ht="76.5" x14ac:dyDescent="0.2">
      <c r="A1331" s="5" t="str">
        <f>HYPERLINK("http://www.patentics.cn/invokexml.do?sf=ShowPatent&amp;spn=US9451595&amp;sv=a302ce7055d31e6500a422d0ff0d55d7","US9451595")</f>
        <v>US9451595</v>
      </c>
      <c r="B1331" s="3" t="s">
        <v>6161</v>
      </c>
      <c r="C1331" s="3" t="s">
        <v>6162</v>
      </c>
      <c r="D1331" s="3" t="s">
        <v>52</v>
      </c>
      <c r="E1331" s="3" t="s">
        <v>52</v>
      </c>
      <c r="F1331" s="3" t="s">
        <v>2716</v>
      </c>
      <c r="G1331" s="3" t="s">
        <v>1874</v>
      </c>
      <c r="H1331" s="3" t="s">
        <v>0</v>
      </c>
      <c r="I1331" s="3" t="s">
        <v>6163</v>
      </c>
      <c r="J1331" s="3" t="s">
        <v>848</v>
      </c>
      <c r="K1331" s="3" t="s">
        <v>70</v>
      </c>
      <c r="L1331" s="3" t="s">
        <v>2535</v>
      </c>
      <c r="M1331" s="3" t="s">
        <v>82</v>
      </c>
      <c r="N1331" s="3" t="s">
        <v>245</v>
      </c>
      <c r="O1331" s="3">
        <v>0</v>
      </c>
      <c r="P1331" s="3">
        <v>21</v>
      </c>
      <c r="Q1331" s="3" t="s">
        <v>60</v>
      </c>
      <c r="R1331" s="3" t="s">
        <v>61</v>
      </c>
      <c r="S1331" s="3">
        <v>13</v>
      </c>
      <c r="T1331" s="3">
        <v>2</v>
      </c>
      <c r="U1331" s="3">
        <v>11</v>
      </c>
      <c r="V1331" s="3">
        <v>11</v>
      </c>
      <c r="W1331" s="3">
        <v>0</v>
      </c>
      <c r="X1331" s="3" t="s">
        <v>147</v>
      </c>
      <c r="Y1331" s="3">
        <v>0</v>
      </c>
      <c r="Z1331" s="3">
        <v>0</v>
      </c>
      <c r="AA1331" s="3">
        <v>0</v>
      </c>
      <c r="AB1331" s="3">
        <v>0</v>
      </c>
      <c r="AC1331" s="3">
        <v>0</v>
      </c>
      <c r="AD1331" s="3">
        <v>0</v>
      </c>
      <c r="AE1331" s="3">
        <v>14</v>
      </c>
      <c r="AF1331" s="3" t="s">
        <v>0</v>
      </c>
      <c r="AG1331" s="3" t="s">
        <v>49</v>
      </c>
    </row>
    <row r="1332" spans="1:33" ht="38.25" x14ac:dyDescent="0.2">
      <c r="A1332" s="4" t="str">
        <f>HYPERLINK("http://www.patentics.cn/invokexml.do?sf=ShowPatent&amp;spn=US20130188531&amp;sv=2d804a0e01d1ac74bac72bb0f30be3f2","US20130188531")</f>
        <v>US20130188531</v>
      </c>
      <c r="B1332" s="2" t="s">
        <v>6164</v>
      </c>
      <c r="C1332" s="2" t="s">
        <v>6165</v>
      </c>
      <c r="D1332" s="2" t="s">
        <v>346</v>
      </c>
      <c r="E1332" s="2" t="s">
        <v>346</v>
      </c>
      <c r="F1332" s="2" t="s">
        <v>3297</v>
      </c>
      <c r="G1332" s="2" t="s">
        <v>3297</v>
      </c>
      <c r="H1332" s="2" t="s">
        <v>6166</v>
      </c>
      <c r="I1332" s="2" t="s">
        <v>6167</v>
      </c>
      <c r="J1332" s="2" t="s">
        <v>4644</v>
      </c>
      <c r="K1332" s="2" t="s">
        <v>82</v>
      </c>
      <c r="L1332" s="2" t="s">
        <v>516</v>
      </c>
      <c r="M1332" s="2" t="s">
        <v>82</v>
      </c>
      <c r="N1332" s="2" t="s">
        <v>6168</v>
      </c>
      <c r="O1332" s="2">
        <v>30</v>
      </c>
      <c r="P1332" s="2">
        <v>19</v>
      </c>
      <c r="Q1332" s="2" t="s">
        <v>352</v>
      </c>
      <c r="R1332" s="2" t="s">
        <v>61</v>
      </c>
      <c r="S1332" s="2">
        <v>0</v>
      </c>
      <c r="T1332" s="2">
        <v>0</v>
      </c>
      <c r="U1332" s="2">
        <v>0</v>
      </c>
      <c r="V1332" s="2">
        <v>0</v>
      </c>
      <c r="W1332" s="2">
        <v>6</v>
      </c>
      <c r="X1332" s="2" t="s">
        <v>6169</v>
      </c>
      <c r="Y1332" s="2">
        <v>1</v>
      </c>
      <c r="Z1332" s="2">
        <v>5</v>
      </c>
      <c r="AA1332" s="2">
        <v>5</v>
      </c>
      <c r="AB1332" s="2">
        <v>1</v>
      </c>
      <c r="AC1332" s="2">
        <v>3</v>
      </c>
      <c r="AD1332" s="2">
        <v>2</v>
      </c>
      <c r="AE1332" s="2" t="s">
        <v>0</v>
      </c>
      <c r="AF1332" s="2">
        <v>2</v>
      </c>
      <c r="AG1332" s="2" t="s">
        <v>49</v>
      </c>
    </row>
    <row r="1333" spans="1:33" ht="127.5" x14ac:dyDescent="0.2">
      <c r="A1333" s="5" t="str">
        <f>HYPERLINK("http://www.patentics.cn/invokexml.do?sf=ShowPatent&amp;spn=US9107186&amp;sv=8a78b379fb9099be6d98bd98f59764af","US9107186")</f>
        <v>US9107186</v>
      </c>
      <c r="B1333" s="3" t="s">
        <v>2749</v>
      </c>
      <c r="C1333" s="3" t="s">
        <v>2750</v>
      </c>
      <c r="D1333" s="3" t="s">
        <v>52</v>
      </c>
      <c r="E1333" s="3" t="s">
        <v>52</v>
      </c>
      <c r="F1333" s="3" t="s">
        <v>2751</v>
      </c>
      <c r="G1333" s="3" t="s">
        <v>2752</v>
      </c>
      <c r="H1333" s="3" t="s">
        <v>891</v>
      </c>
      <c r="I1333" s="3" t="s">
        <v>2753</v>
      </c>
      <c r="J1333" s="3" t="s">
        <v>927</v>
      </c>
      <c r="K1333" s="3" t="s">
        <v>82</v>
      </c>
      <c r="L1333" s="3" t="s">
        <v>226</v>
      </c>
      <c r="M1333" s="3" t="s">
        <v>0</v>
      </c>
      <c r="N1333" s="3" t="s">
        <v>0</v>
      </c>
      <c r="O1333" s="3">
        <v>0</v>
      </c>
      <c r="P1333" s="3">
        <v>19</v>
      </c>
      <c r="Q1333" s="3" t="s">
        <v>60</v>
      </c>
      <c r="R1333" s="3" t="s">
        <v>61</v>
      </c>
      <c r="S1333" s="3">
        <v>38</v>
      </c>
      <c r="T1333" s="3">
        <v>7</v>
      </c>
      <c r="U1333" s="3">
        <v>31</v>
      </c>
      <c r="V1333" s="3">
        <v>18</v>
      </c>
      <c r="W1333" s="3">
        <v>0</v>
      </c>
      <c r="X1333" s="3" t="s">
        <v>147</v>
      </c>
      <c r="Y1333" s="3">
        <v>0</v>
      </c>
      <c r="Z1333" s="3">
        <v>0</v>
      </c>
      <c r="AA1333" s="3">
        <v>0</v>
      </c>
      <c r="AB1333" s="3">
        <v>0</v>
      </c>
      <c r="AC1333" s="3">
        <v>8</v>
      </c>
      <c r="AD1333" s="3">
        <v>6</v>
      </c>
      <c r="AE1333" s="3">
        <v>14</v>
      </c>
      <c r="AF1333" s="3" t="s">
        <v>0</v>
      </c>
      <c r="AG1333" s="3" t="s">
        <v>49</v>
      </c>
    </row>
    <row r="1334" spans="1:33" ht="89.25" x14ac:dyDescent="0.2">
      <c r="A1334" s="5" t="str">
        <f>HYPERLINK("http://www.patentics.cn/invokexml.do?sf=ShowPatent&amp;spn=US9160592&amp;sv=427b99375643120d52ab55918d773190","US9160592")</f>
        <v>US9160592</v>
      </c>
      <c r="B1334" s="3" t="s">
        <v>2754</v>
      </c>
      <c r="C1334" s="3" t="s">
        <v>2755</v>
      </c>
      <c r="D1334" s="3" t="s">
        <v>52</v>
      </c>
      <c r="E1334" s="3" t="s">
        <v>52</v>
      </c>
      <c r="F1334" s="3" t="s">
        <v>2756</v>
      </c>
      <c r="G1334" s="3" t="s">
        <v>2752</v>
      </c>
      <c r="H1334" s="3" t="s">
        <v>891</v>
      </c>
      <c r="I1334" s="3" t="s">
        <v>1235</v>
      </c>
      <c r="J1334" s="3" t="s">
        <v>830</v>
      </c>
      <c r="K1334" s="3" t="s">
        <v>1246</v>
      </c>
      <c r="L1334" s="3" t="s">
        <v>1247</v>
      </c>
      <c r="M1334" s="3" t="s">
        <v>58</v>
      </c>
      <c r="N1334" s="3" t="s">
        <v>2466</v>
      </c>
      <c r="O1334" s="3">
        <v>0</v>
      </c>
      <c r="P1334" s="3">
        <v>26</v>
      </c>
      <c r="Q1334" s="3" t="s">
        <v>60</v>
      </c>
      <c r="R1334" s="3" t="s">
        <v>61</v>
      </c>
      <c r="S1334" s="3">
        <v>40</v>
      </c>
      <c r="T1334" s="3">
        <v>8</v>
      </c>
      <c r="U1334" s="3">
        <v>32</v>
      </c>
      <c r="V1334" s="3">
        <v>19</v>
      </c>
      <c r="W1334" s="3">
        <v>0</v>
      </c>
      <c r="X1334" s="3" t="s">
        <v>147</v>
      </c>
      <c r="Y1334" s="3">
        <v>0</v>
      </c>
      <c r="Z1334" s="3">
        <v>0</v>
      </c>
      <c r="AA1334" s="3">
        <v>0</v>
      </c>
      <c r="AB1334" s="3">
        <v>0</v>
      </c>
      <c r="AC1334" s="3">
        <v>7</v>
      </c>
      <c r="AD1334" s="3">
        <v>6</v>
      </c>
      <c r="AE1334" s="3">
        <v>14</v>
      </c>
      <c r="AF1334" s="3" t="s">
        <v>0</v>
      </c>
      <c r="AG1334" s="3" t="s">
        <v>49</v>
      </c>
    </row>
    <row r="1335" spans="1:33" ht="51" x14ac:dyDescent="0.2">
      <c r="A1335" s="4" t="str">
        <f>HYPERLINK("http://www.patentics.cn/invokexml.do?sf=ShowPatent&amp;spn=US20130042073&amp;sv=8e240a8c69b1d29fb5065e05eb4ee047","US20130042073")</f>
        <v>US20130042073</v>
      </c>
      <c r="B1335" s="2" t="s">
        <v>6170</v>
      </c>
      <c r="C1335" s="2" t="s">
        <v>6171</v>
      </c>
      <c r="D1335" s="2" t="s">
        <v>346</v>
      </c>
      <c r="E1335" s="2" t="s">
        <v>346</v>
      </c>
      <c r="F1335" s="2" t="s">
        <v>6172</v>
      </c>
      <c r="G1335" s="2" t="s">
        <v>6172</v>
      </c>
      <c r="H1335" s="2" t="s">
        <v>2078</v>
      </c>
      <c r="I1335" s="2" t="s">
        <v>6173</v>
      </c>
      <c r="J1335" s="2" t="s">
        <v>6174</v>
      </c>
      <c r="K1335" s="2" t="s">
        <v>555</v>
      </c>
      <c r="L1335" s="2" t="s">
        <v>6175</v>
      </c>
      <c r="M1335" s="2" t="s">
        <v>0</v>
      </c>
      <c r="N1335" s="2" t="s">
        <v>0</v>
      </c>
      <c r="O1335" s="2">
        <v>20</v>
      </c>
      <c r="P1335" s="2">
        <v>8</v>
      </c>
      <c r="Q1335" s="2" t="s">
        <v>352</v>
      </c>
      <c r="R1335" s="2" t="s">
        <v>47</v>
      </c>
      <c r="S1335" s="2">
        <v>0</v>
      </c>
      <c r="T1335" s="2">
        <v>0</v>
      </c>
      <c r="U1335" s="2">
        <v>0</v>
      </c>
      <c r="V1335" s="2">
        <v>0</v>
      </c>
      <c r="W1335" s="2">
        <v>2</v>
      </c>
      <c r="X1335" s="2" t="s">
        <v>1171</v>
      </c>
      <c r="Y1335" s="2">
        <v>0</v>
      </c>
      <c r="Z1335" s="2">
        <v>2</v>
      </c>
      <c r="AA1335" s="2">
        <v>1</v>
      </c>
      <c r="AB1335" s="2">
        <v>2</v>
      </c>
      <c r="AC1335" s="2">
        <v>5</v>
      </c>
      <c r="AD1335" s="2">
        <v>4</v>
      </c>
      <c r="AE1335" s="2" t="s">
        <v>0</v>
      </c>
      <c r="AF1335" s="2">
        <v>2</v>
      </c>
      <c r="AG1335" s="2" t="s">
        <v>49</v>
      </c>
    </row>
    <row r="1336" spans="1:33" ht="153" x14ac:dyDescent="0.2">
      <c r="A1336" s="5" t="str">
        <f>HYPERLINK("http://www.patentics.cn/invokexml.do?sf=ShowPatent&amp;spn=US9204437&amp;sv=d911863af489ee44ce3fa7e1a3c29b81","US9204437")</f>
        <v>US9204437</v>
      </c>
      <c r="B1336" s="3" t="s">
        <v>4412</v>
      </c>
      <c r="C1336" s="3" t="s">
        <v>4413</v>
      </c>
      <c r="D1336" s="3" t="s">
        <v>52</v>
      </c>
      <c r="E1336" s="3" t="s">
        <v>52</v>
      </c>
      <c r="F1336" s="3" t="s">
        <v>4414</v>
      </c>
      <c r="G1336" s="3" t="s">
        <v>4415</v>
      </c>
      <c r="H1336" s="3" t="s">
        <v>3573</v>
      </c>
      <c r="I1336" s="3" t="s">
        <v>4416</v>
      </c>
      <c r="J1336" s="3" t="s">
        <v>1362</v>
      </c>
      <c r="K1336" s="3" t="s">
        <v>84</v>
      </c>
      <c r="L1336" s="3" t="s">
        <v>114</v>
      </c>
      <c r="M1336" s="3" t="s">
        <v>82</v>
      </c>
      <c r="N1336" s="3" t="s">
        <v>1185</v>
      </c>
      <c r="O1336" s="3">
        <v>0</v>
      </c>
      <c r="P1336" s="3">
        <v>16</v>
      </c>
      <c r="Q1336" s="3" t="s">
        <v>60</v>
      </c>
      <c r="R1336" s="3" t="s">
        <v>61</v>
      </c>
      <c r="S1336" s="3">
        <v>20</v>
      </c>
      <c r="T1336" s="3">
        <v>2</v>
      </c>
      <c r="U1336" s="3">
        <v>18</v>
      </c>
      <c r="V1336" s="3">
        <v>13</v>
      </c>
      <c r="W1336" s="3">
        <v>0</v>
      </c>
      <c r="X1336" s="3" t="s">
        <v>147</v>
      </c>
      <c r="Y1336" s="3">
        <v>0</v>
      </c>
      <c r="Z1336" s="3">
        <v>0</v>
      </c>
      <c r="AA1336" s="3">
        <v>0</v>
      </c>
      <c r="AB1336" s="3">
        <v>0</v>
      </c>
      <c r="AC1336" s="3">
        <v>4</v>
      </c>
      <c r="AD1336" s="3">
        <v>4</v>
      </c>
      <c r="AE1336" s="3">
        <v>14</v>
      </c>
      <c r="AF1336" s="3" t="s">
        <v>0</v>
      </c>
      <c r="AG1336" s="3" t="s">
        <v>49</v>
      </c>
    </row>
    <row r="1337" spans="1:33" ht="153" x14ac:dyDescent="0.2">
      <c r="A1337" s="5" t="str">
        <f>HYPERLINK("http://www.patentics.cn/invokexml.do?sf=ShowPatent&amp;spn=WO2014133926&amp;sv=dc80c9a3990e6e0b01a70303163c421f","WO2014133926")</f>
        <v>WO2014133926</v>
      </c>
      <c r="B1337" s="3" t="s">
        <v>4417</v>
      </c>
      <c r="C1337" s="3" t="s">
        <v>4418</v>
      </c>
      <c r="D1337" s="3" t="s">
        <v>52</v>
      </c>
      <c r="E1337" s="3" t="s">
        <v>52</v>
      </c>
      <c r="F1337" s="3" t="s">
        <v>4419</v>
      </c>
      <c r="G1337" s="3" t="s">
        <v>4420</v>
      </c>
      <c r="H1337" s="3" t="s">
        <v>3573</v>
      </c>
      <c r="I1337" s="3" t="s">
        <v>1715</v>
      </c>
      <c r="J1337" s="3" t="s">
        <v>4421</v>
      </c>
      <c r="K1337" s="3" t="s">
        <v>58</v>
      </c>
      <c r="L1337" s="3" t="s">
        <v>1980</v>
      </c>
      <c r="M1337" s="3" t="s">
        <v>0</v>
      </c>
      <c r="N1337" s="3" t="s">
        <v>0</v>
      </c>
      <c r="O1337" s="3">
        <v>30</v>
      </c>
      <c r="P1337" s="3">
        <v>17</v>
      </c>
      <c r="Q1337" s="3" t="s">
        <v>352</v>
      </c>
      <c r="R1337" s="3" t="s">
        <v>61</v>
      </c>
      <c r="S1337" s="3">
        <v>3</v>
      </c>
      <c r="T1337" s="3">
        <v>0</v>
      </c>
      <c r="U1337" s="3">
        <v>3</v>
      </c>
      <c r="V1337" s="3">
        <v>1</v>
      </c>
      <c r="W1337" s="3">
        <v>0</v>
      </c>
      <c r="X1337" s="3" t="s">
        <v>147</v>
      </c>
      <c r="Y1337" s="3">
        <v>0</v>
      </c>
      <c r="Z1337" s="3">
        <v>0</v>
      </c>
      <c r="AA1337" s="3">
        <v>0</v>
      </c>
      <c r="AB1337" s="3">
        <v>0</v>
      </c>
      <c r="AC1337" s="3">
        <v>4</v>
      </c>
      <c r="AD1337" s="3">
        <v>4</v>
      </c>
      <c r="AE1337" s="3">
        <v>14</v>
      </c>
      <c r="AF1337" s="3" t="s">
        <v>0</v>
      </c>
      <c r="AG1337" s="3" t="s">
        <v>0</v>
      </c>
    </row>
    <row r="1338" spans="1:33" ht="38.25" x14ac:dyDescent="0.2">
      <c r="A1338" s="4" t="str">
        <f>HYPERLINK("http://www.patentics.cn/invokexml.do?sf=ShowPatent&amp;spn=US20130012166&amp;sv=2171950acae037b043cc8935e7cf3a89","US20130012166")</f>
        <v>US20130012166</v>
      </c>
      <c r="B1338" s="2" t="s">
        <v>6176</v>
      </c>
      <c r="C1338" s="2" t="s">
        <v>6177</v>
      </c>
      <c r="D1338" s="2" t="s">
        <v>346</v>
      </c>
      <c r="E1338" s="2" t="s">
        <v>346</v>
      </c>
      <c r="F1338" s="2" t="s">
        <v>6178</v>
      </c>
      <c r="G1338" s="2" t="s">
        <v>6179</v>
      </c>
      <c r="H1338" s="2" t="s">
        <v>4507</v>
      </c>
      <c r="I1338" s="2" t="s">
        <v>6180</v>
      </c>
      <c r="J1338" s="2" t="s">
        <v>6181</v>
      </c>
      <c r="K1338" s="2" t="s">
        <v>82</v>
      </c>
      <c r="L1338" s="2" t="s">
        <v>2841</v>
      </c>
      <c r="M1338" s="2" t="s">
        <v>0</v>
      </c>
      <c r="N1338" s="2" t="s">
        <v>0</v>
      </c>
      <c r="O1338" s="2">
        <v>15</v>
      </c>
      <c r="P1338" s="2">
        <v>8</v>
      </c>
      <c r="Q1338" s="2" t="s">
        <v>352</v>
      </c>
      <c r="R1338" s="2" t="s">
        <v>47</v>
      </c>
      <c r="S1338" s="2">
        <v>0</v>
      </c>
      <c r="T1338" s="2">
        <v>0</v>
      </c>
      <c r="U1338" s="2">
        <v>0</v>
      </c>
      <c r="V1338" s="2">
        <v>0</v>
      </c>
      <c r="W1338" s="2">
        <v>3</v>
      </c>
      <c r="X1338" s="2" t="s">
        <v>3633</v>
      </c>
      <c r="Y1338" s="2">
        <v>0</v>
      </c>
      <c r="Z1338" s="2">
        <v>3</v>
      </c>
      <c r="AA1338" s="2">
        <v>2</v>
      </c>
      <c r="AB1338" s="2">
        <v>1</v>
      </c>
      <c r="AC1338" s="2">
        <v>4</v>
      </c>
      <c r="AD1338" s="2">
        <v>4</v>
      </c>
      <c r="AE1338" s="2" t="s">
        <v>0</v>
      </c>
      <c r="AF1338" s="2">
        <v>2</v>
      </c>
      <c r="AG1338" s="2" t="s">
        <v>49</v>
      </c>
    </row>
    <row r="1339" spans="1:33" ht="51" x14ac:dyDescent="0.2">
      <c r="A1339" s="5" t="str">
        <f>HYPERLINK("http://www.patentics.cn/invokexml.do?sf=ShowPatent&amp;spn=US9288625&amp;sv=e0affab794dfa52f4f6749b57b685cdc","US9288625")</f>
        <v>US9288625</v>
      </c>
      <c r="B1339" s="3" t="s">
        <v>6182</v>
      </c>
      <c r="C1339" s="3" t="s">
        <v>6183</v>
      </c>
      <c r="D1339" s="3" t="s">
        <v>52</v>
      </c>
      <c r="E1339" s="3" t="s">
        <v>52</v>
      </c>
      <c r="F1339" s="3" t="s">
        <v>6184</v>
      </c>
      <c r="G1339" s="3" t="s">
        <v>6185</v>
      </c>
      <c r="H1339" s="3" t="s">
        <v>6186</v>
      </c>
      <c r="I1339" s="3" t="s">
        <v>6186</v>
      </c>
      <c r="J1339" s="3" t="s">
        <v>689</v>
      </c>
      <c r="K1339" s="3" t="s">
        <v>82</v>
      </c>
      <c r="L1339" s="3" t="s">
        <v>806</v>
      </c>
      <c r="M1339" s="3" t="s">
        <v>82</v>
      </c>
      <c r="N1339" s="3" t="s">
        <v>6187</v>
      </c>
      <c r="O1339" s="3">
        <v>0</v>
      </c>
      <c r="P1339" s="3">
        <v>9</v>
      </c>
      <c r="Q1339" s="3" t="s">
        <v>60</v>
      </c>
      <c r="R1339" s="3" t="s">
        <v>61</v>
      </c>
      <c r="S1339" s="3">
        <v>11</v>
      </c>
      <c r="T1339" s="3">
        <v>1</v>
      </c>
      <c r="U1339" s="3">
        <v>10</v>
      </c>
      <c r="V1339" s="3">
        <v>11</v>
      </c>
      <c r="W1339" s="3">
        <v>0</v>
      </c>
      <c r="X1339" s="3" t="s">
        <v>147</v>
      </c>
      <c r="Y1339" s="3">
        <v>0</v>
      </c>
      <c r="Z1339" s="3">
        <v>0</v>
      </c>
      <c r="AA1339" s="3">
        <v>0</v>
      </c>
      <c r="AB1339" s="3">
        <v>0</v>
      </c>
      <c r="AC1339" s="3">
        <v>3</v>
      </c>
      <c r="AD1339" s="3">
        <v>3</v>
      </c>
      <c r="AE1339" s="3">
        <v>14</v>
      </c>
      <c r="AF1339" s="3" t="s">
        <v>0</v>
      </c>
      <c r="AG1339" s="3" t="s">
        <v>49</v>
      </c>
    </row>
    <row r="1340" spans="1:33" ht="76.5" x14ac:dyDescent="0.2">
      <c r="A1340" s="5" t="str">
        <f>HYPERLINK("http://www.patentics.cn/invokexml.do?sf=ShowPatent&amp;spn=US9420411&amp;sv=2f2b23c165f695d248cc57cc25aedda2","US9420411")</f>
        <v>US9420411</v>
      </c>
      <c r="B1340" s="3" t="s">
        <v>6188</v>
      </c>
      <c r="C1340" s="3" t="s">
        <v>6189</v>
      </c>
      <c r="D1340" s="3" t="s">
        <v>52</v>
      </c>
      <c r="E1340" s="3" t="s">
        <v>52</v>
      </c>
      <c r="F1340" s="3" t="s">
        <v>6190</v>
      </c>
      <c r="G1340" s="3" t="s">
        <v>6191</v>
      </c>
      <c r="H1340" s="3" t="s">
        <v>6192</v>
      </c>
      <c r="I1340" s="3" t="s">
        <v>4678</v>
      </c>
      <c r="J1340" s="3" t="s">
        <v>714</v>
      </c>
      <c r="K1340" s="3" t="s">
        <v>82</v>
      </c>
      <c r="L1340" s="3" t="s">
        <v>2841</v>
      </c>
      <c r="M1340" s="3" t="s">
        <v>82</v>
      </c>
      <c r="N1340" s="3" t="s">
        <v>5880</v>
      </c>
      <c r="O1340" s="3">
        <v>0</v>
      </c>
      <c r="P1340" s="3">
        <v>12</v>
      </c>
      <c r="Q1340" s="3" t="s">
        <v>60</v>
      </c>
      <c r="R1340" s="3" t="s">
        <v>61</v>
      </c>
      <c r="S1340" s="3">
        <v>13</v>
      </c>
      <c r="T1340" s="3">
        <v>4</v>
      </c>
      <c r="U1340" s="3">
        <v>9</v>
      </c>
      <c r="V1340" s="3">
        <v>5</v>
      </c>
      <c r="W1340" s="3">
        <v>0</v>
      </c>
      <c r="X1340" s="3" t="s">
        <v>147</v>
      </c>
      <c r="Y1340" s="3">
        <v>0</v>
      </c>
      <c r="Z1340" s="3">
        <v>0</v>
      </c>
      <c r="AA1340" s="3">
        <v>0</v>
      </c>
      <c r="AB1340" s="3">
        <v>0</v>
      </c>
      <c r="AC1340" s="3">
        <v>8</v>
      </c>
      <c r="AD1340" s="3">
        <v>7</v>
      </c>
      <c r="AE1340" s="3">
        <v>14</v>
      </c>
      <c r="AF1340" s="3" t="s">
        <v>0</v>
      </c>
      <c r="AG1340" s="3" t="s">
        <v>49</v>
      </c>
    </row>
    <row r="1341" spans="1:33" ht="63.75" x14ac:dyDescent="0.2">
      <c r="A1341" s="4" t="str">
        <f>HYPERLINK("http://www.patentics.cn/invokexml.do?sf=ShowPatent&amp;spn=US20130010624&amp;sv=704a1f7c82e949f683038d0642646e7e","US20130010624")</f>
        <v>US20130010624</v>
      </c>
      <c r="B1341" s="2" t="s">
        <v>6193</v>
      </c>
      <c r="C1341" s="2" t="s">
        <v>6194</v>
      </c>
      <c r="D1341" s="2" t="s">
        <v>346</v>
      </c>
      <c r="E1341" s="2" t="s">
        <v>346</v>
      </c>
      <c r="F1341" s="2" t="s">
        <v>6195</v>
      </c>
      <c r="G1341" s="2" t="s">
        <v>6196</v>
      </c>
      <c r="H1341" s="2" t="s">
        <v>4507</v>
      </c>
      <c r="I1341" s="2" t="s">
        <v>2452</v>
      </c>
      <c r="J1341" s="2" t="s">
        <v>6181</v>
      </c>
      <c r="K1341" s="2" t="s">
        <v>82</v>
      </c>
      <c r="L1341" s="2" t="s">
        <v>2215</v>
      </c>
      <c r="M1341" s="2" t="s">
        <v>0</v>
      </c>
      <c r="N1341" s="2" t="s">
        <v>0</v>
      </c>
      <c r="O1341" s="2">
        <v>17</v>
      </c>
      <c r="P1341" s="2">
        <v>5</v>
      </c>
      <c r="Q1341" s="2" t="s">
        <v>352</v>
      </c>
      <c r="R1341" s="2" t="s">
        <v>47</v>
      </c>
      <c r="S1341" s="2">
        <v>0</v>
      </c>
      <c r="T1341" s="2">
        <v>0</v>
      </c>
      <c r="U1341" s="2">
        <v>0</v>
      </c>
      <c r="V1341" s="2">
        <v>0</v>
      </c>
      <c r="W1341" s="2">
        <v>12</v>
      </c>
      <c r="X1341" s="2" t="s">
        <v>6197</v>
      </c>
      <c r="Y1341" s="2">
        <v>0</v>
      </c>
      <c r="Z1341" s="2">
        <v>12</v>
      </c>
      <c r="AA1341" s="2">
        <v>8</v>
      </c>
      <c r="AB1341" s="2">
        <v>2</v>
      </c>
      <c r="AC1341" s="2">
        <v>4</v>
      </c>
      <c r="AD1341" s="2">
        <v>4</v>
      </c>
      <c r="AE1341" s="2" t="s">
        <v>0</v>
      </c>
      <c r="AF1341" s="2">
        <v>2</v>
      </c>
      <c r="AG1341" s="2" t="s">
        <v>2231</v>
      </c>
    </row>
    <row r="1342" spans="1:33" ht="280.5" x14ac:dyDescent="0.2">
      <c r="A1342" s="5" t="str">
        <f>HYPERLINK("http://www.patentics.cn/invokexml.do?sf=ShowPatent&amp;spn=US9191842&amp;sv=b267d190840f710cb840d2bf4b06182a","US9191842")</f>
        <v>US9191842</v>
      </c>
      <c r="B1342" s="3" t="s">
        <v>4510</v>
      </c>
      <c r="C1342" s="3" t="s">
        <v>4511</v>
      </c>
      <c r="D1342" s="3" t="s">
        <v>52</v>
      </c>
      <c r="E1342" s="3" t="s">
        <v>52</v>
      </c>
      <c r="F1342" s="3" t="s">
        <v>4512</v>
      </c>
      <c r="G1342" s="3" t="s">
        <v>4196</v>
      </c>
      <c r="H1342" s="3" t="s">
        <v>4513</v>
      </c>
      <c r="I1342" s="3" t="s">
        <v>4514</v>
      </c>
      <c r="J1342" s="3" t="s">
        <v>612</v>
      </c>
      <c r="K1342" s="3" t="s">
        <v>82</v>
      </c>
      <c r="L1342" s="3" t="s">
        <v>835</v>
      </c>
      <c r="M1342" s="3" t="s">
        <v>82</v>
      </c>
      <c r="N1342" s="3" t="s">
        <v>772</v>
      </c>
      <c r="O1342" s="3">
        <v>0</v>
      </c>
      <c r="P1342" s="3">
        <v>12</v>
      </c>
      <c r="Q1342" s="3" t="s">
        <v>60</v>
      </c>
      <c r="R1342" s="3" t="s">
        <v>61</v>
      </c>
      <c r="S1342" s="3">
        <v>9</v>
      </c>
      <c r="T1342" s="3">
        <v>0</v>
      </c>
      <c r="U1342" s="3">
        <v>9</v>
      </c>
      <c r="V1342" s="3">
        <v>7</v>
      </c>
      <c r="W1342" s="3">
        <v>0</v>
      </c>
      <c r="X1342" s="3" t="s">
        <v>147</v>
      </c>
      <c r="Y1342" s="3">
        <v>0</v>
      </c>
      <c r="Z1342" s="3">
        <v>0</v>
      </c>
      <c r="AA1342" s="3">
        <v>0</v>
      </c>
      <c r="AB1342" s="3">
        <v>0</v>
      </c>
      <c r="AC1342" s="3">
        <v>2</v>
      </c>
      <c r="AD1342" s="3">
        <v>2</v>
      </c>
      <c r="AE1342" s="3">
        <v>14</v>
      </c>
      <c r="AF1342" s="3" t="s">
        <v>0</v>
      </c>
      <c r="AG1342" s="3" t="s">
        <v>49</v>
      </c>
    </row>
    <row r="1343" spans="1:33" ht="114.75" x14ac:dyDescent="0.2">
      <c r="A1343" s="5" t="str">
        <f>HYPERLINK("http://www.patentics.cn/invokexml.do?sf=ShowPatent&amp;spn=US9544802&amp;sv=f4fcc83fab561fad4ec09c33967de537","US9544802")</f>
        <v>US9544802</v>
      </c>
      <c r="B1343" s="3" t="s">
        <v>6198</v>
      </c>
      <c r="C1343" s="3" t="s">
        <v>6199</v>
      </c>
      <c r="D1343" s="3" t="s">
        <v>52</v>
      </c>
      <c r="E1343" s="3" t="s">
        <v>52</v>
      </c>
      <c r="F1343" s="3" t="s">
        <v>6200</v>
      </c>
      <c r="G1343" s="3" t="s">
        <v>6201</v>
      </c>
      <c r="H1343" s="3" t="s">
        <v>4431</v>
      </c>
      <c r="I1343" s="3" t="s">
        <v>4431</v>
      </c>
      <c r="J1343" s="3" t="s">
        <v>861</v>
      </c>
      <c r="K1343" s="3" t="s">
        <v>58</v>
      </c>
      <c r="L1343" s="3" t="s">
        <v>763</v>
      </c>
      <c r="M1343" s="3" t="s">
        <v>82</v>
      </c>
      <c r="N1343" s="3" t="s">
        <v>799</v>
      </c>
      <c r="O1343" s="3">
        <v>0</v>
      </c>
      <c r="P1343" s="3">
        <v>22</v>
      </c>
      <c r="Q1343" s="3" t="s">
        <v>60</v>
      </c>
      <c r="R1343" s="3" t="s">
        <v>61</v>
      </c>
      <c r="S1343" s="3">
        <v>13</v>
      </c>
      <c r="T1343" s="3">
        <v>3</v>
      </c>
      <c r="U1343" s="3">
        <v>10</v>
      </c>
      <c r="V1343" s="3">
        <v>9</v>
      </c>
      <c r="W1343" s="3">
        <v>0</v>
      </c>
      <c r="X1343" s="3" t="s">
        <v>147</v>
      </c>
      <c r="Y1343" s="3">
        <v>0</v>
      </c>
      <c r="Z1343" s="3">
        <v>0</v>
      </c>
      <c r="AA1343" s="3">
        <v>0</v>
      </c>
      <c r="AB1343" s="3">
        <v>0</v>
      </c>
      <c r="AC1343" s="3">
        <v>1</v>
      </c>
      <c r="AD1343" s="3">
        <v>1</v>
      </c>
      <c r="AE1343" s="3">
        <v>14</v>
      </c>
      <c r="AF1343" s="3" t="s">
        <v>0</v>
      </c>
      <c r="AG1343" s="3" t="s">
        <v>49</v>
      </c>
    </row>
    <row r="1344" spans="1:33" ht="51" x14ac:dyDescent="0.2">
      <c r="A1344" s="4" t="str">
        <f>HYPERLINK("http://www.patentics.cn/invokexml.do?sf=ShowPatent&amp;spn=US20120320745&amp;sv=b60d7d35f9982343f9cecd7df9b96e1a","US20120320745")</f>
        <v>US20120320745</v>
      </c>
      <c r="B1344" s="2" t="s">
        <v>6202</v>
      </c>
      <c r="C1344" s="2" t="s">
        <v>6203</v>
      </c>
      <c r="D1344" s="2" t="s">
        <v>346</v>
      </c>
      <c r="E1344" s="2" t="s">
        <v>346</v>
      </c>
      <c r="F1344" s="2" t="s">
        <v>6204</v>
      </c>
      <c r="G1344" s="2" t="s">
        <v>6205</v>
      </c>
      <c r="H1344" s="2" t="s">
        <v>5741</v>
      </c>
      <c r="I1344" s="2" t="s">
        <v>5741</v>
      </c>
      <c r="J1344" s="2" t="s">
        <v>3677</v>
      </c>
      <c r="K1344" s="2" t="s">
        <v>82</v>
      </c>
      <c r="L1344" s="2" t="s">
        <v>2594</v>
      </c>
      <c r="M1344" s="2" t="s">
        <v>0</v>
      </c>
      <c r="N1344" s="2" t="s">
        <v>0</v>
      </c>
      <c r="O1344" s="2">
        <v>20</v>
      </c>
      <c r="P1344" s="2">
        <v>15</v>
      </c>
      <c r="Q1344" s="2" t="s">
        <v>352</v>
      </c>
      <c r="R1344" s="2" t="s">
        <v>47</v>
      </c>
      <c r="S1344" s="2">
        <v>0</v>
      </c>
      <c r="T1344" s="2">
        <v>0</v>
      </c>
      <c r="U1344" s="2">
        <v>0</v>
      </c>
      <c r="V1344" s="2">
        <v>0</v>
      </c>
      <c r="W1344" s="2">
        <v>4</v>
      </c>
      <c r="X1344" s="2" t="s">
        <v>933</v>
      </c>
      <c r="Y1344" s="2">
        <v>1</v>
      </c>
      <c r="Z1344" s="2">
        <v>3</v>
      </c>
      <c r="AA1344" s="2">
        <v>3</v>
      </c>
      <c r="AB1344" s="2">
        <v>1</v>
      </c>
      <c r="AC1344" s="2">
        <v>12</v>
      </c>
      <c r="AD1344" s="2">
        <v>9</v>
      </c>
      <c r="AE1344" s="2" t="s">
        <v>0</v>
      </c>
      <c r="AF1344" s="2">
        <v>2</v>
      </c>
      <c r="AG1344" s="2" t="s">
        <v>49</v>
      </c>
    </row>
    <row r="1345" spans="1:33" ht="140.25" x14ac:dyDescent="0.2">
      <c r="A1345" s="5" t="str">
        <f>HYPERLINK("http://www.patentics.cn/invokexml.do?sf=ShowPatent&amp;spn=US8918563&amp;sv=d846c79cc5bef4f904a120b50e860e7f","US8918563")</f>
        <v>US8918563</v>
      </c>
      <c r="B1345" s="3" t="s">
        <v>6206</v>
      </c>
      <c r="C1345" s="3" t="s">
        <v>6207</v>
      </c>
      <c r="D1345" s="3" t="s">
        <v>52</v>
      </c>
      <c r="E1345" s="3" t="s">
        <v>52</v>
      </c>
      <c r="F1345" s="3" t="s">
        <v>6208</v>
      </c>
      <c r="G1345" s="3" t="s">
        <v>6209</v>
      </c>
      <c r="H1345" s="3" t="s">
        <v>106</v>
      </c>
      <c r="I1345" s="3" t="s">
        <v>3282</v>
      </c>
      <c r="J1345" s="3" t="s">
        <v>203</v>
      </c>
      <c r="K1345" s="3" t="s">
        <v>555</v>
      </c>
      <c r="L1345" s="3" t="s">
        <v>6210</v>
      </c>
      <c r="M1345" s="3" t="s">
        <v>58</v>
      </c>
      <c r="N1345" s="3" t="s">
        <v>6211</v>
      </c>
      <c r="O1345" s="3">
        <v>0</v>
      </c>
      <c r="P1345" s="3">
        <v>13</v>
      </c>
      <c r="Q1345" s="3" t="s">
        <v>60</v>
      </c>
      <c r="R1345" s="3" t="s">
        <v>61</v>
      </c>
      <c r="S1345" s="3">
        <v>26</v>
      </c>
      <c r="T1345" s="3">
        <v>5</v>
      </c>
      <c r="U1345" s="3">
        <v>21</v>
      </c>
      <c r="V1345" s="3">
        <v>14</v>
      </c>
      <c r="W1345" s="3">
        <v>0</v>
      </c>
      <c r="X1345" s="3" t="s">
        <v>147</v>
      </c>
      <c r="Y1345" s="3">
        <v>0</v>
      </c>
      <c r="Z1345" s="3">
        <v>0</v>
      </c>
      <c r="AA1345" s="3">
        <v>0</v>
      </c>
      <c r="AB1345" s="3">
        <v>0</v>
      </c>
      <c r="AC1345" s="3">
        <v>8</v>
      </c>
      <c r="AD1345" s="3">
        <v>6</v>
      </c>
      <c r="AE1345" s="3">
        <v>14</v>
      </c>
      <c r="AF1345" s="3" t="s">
        <v>0</v>
      </c>
      <c r="AG1345" s="3" t="s">
        <v>49</v>
      </c>
    </row>
    <row r="1346" spans="1:33" ht="216.75" x14ac:dyDescent="0.2">
      <c r="A1346" s="5" t="str">
        <f>HYPERLINK("http://www.patentics.cn/invokexml.do?sf=ShowPatent&amp;spn=US9019880&amp;sv=6698808c737b8ec61545299f388619b9","US9019880")</f>
        <v>US9019880</v>
      </c>
      <c r="B1346" s="3" t="s">
        <v>6212</v>
      </c>
      <c r="C1346" s="3" t="s">
        <v>6213</v>
      </c>
      <c r="D1346" s="3" t="s">
        <v>52</v>
      </c>
      <c r="E1346" s="3" t="s">
        <v>52</v>
      </c>
      <c r="F1346" s="3" t="s">
        <v>6214</v>
      </c>
      <c r="G1346" s="3" t="s">
        <v>6209</v>
      </c>
      <c r="H1346" s="3" t="s">
        <v>2809</v>
      </c>
      <c r="I1346" s="3" t="s">
        <v>1500</v>
      </c>
      <c r="J1346" s="3" t="s">
        <v>2958</v>
      </c>
      <c r="K1346" s="3" t="s">
        <v>457</v>
      </c>
      <c r="L1346" s="3" t="s">
        <v>458</v>
      </c>
      <c r="M1346" s="3" t="s">
        <v>82</v>
      </c>
      <c r="N1346" s="3" t="s">
        <v>459</v>
      </c>
      <c r="O1346" s="3">
        <v>0</v>
      </c>
      <c r="P1346" s="3">
        <v>10</v>
      </c>
      <c r="Q1346" s="3" t="s">
        <v>60</v>
      </c>
      <c r="R1346" s="3" t="s">
        <v>61</v>
      </c>
      <c r="S1346" s="3">
        <v>43</v>
      </c>
      <c r="T1346" s="3">
        <v>6</v>
      </c>
      <c r="U1346" s="3">
        <v>37</v>
      </c>
      <c r="V1346" s="3">
        <v>16</v>
      </c>
      <c r="W1346" s="3">
        <v>1</v>
      </c>
      <c r="X1346" s="3" t="s">
        <v>1186</v>
      </c>
      <c r="Y1346" s="3">
        <v>1</v>
      </c>
      <c r="Z1346" s="3">
        <v>0</v>
      </c>
      <c r="AA1346" s="3">
        <v>1</v>
      </c>
      <c r="AB1346" s="3">
        <v>1</v>
      </c>
      <c r="AC1346" s="3">
        <v>6</v>
      </c>
      <c r="AD1346" s="3">
        <v>6</v>
      </c>
      <c r="AE1346" s="3">
        <v>14</v>
      </c>
      <c r="AF1346" s="3" t="s">
        <v>0</v>
      </c>
      <c r="AG1346" s="3" t="s">
        <v>49</v>
      </c>
    </row>
    <row r="1347" spans="1:33" ht="38.25" x14ac:dyDescent="0.2">
      <c r="A1347" s="4" t="str">
        <f>HYPERLINK("http://www.patentics.cn/invokexml.do?sf=ShowPatent&amp;spn=US20120307736&amp;sv=d28c95237f22ebbd1efd91ebc0eb05a1","US20120307736")</f>
        <v>US20120307736</v>
      </c>
      <c r="B1347" s="2" t="s">
        <v>6215</v>
      </c>
      <c r="C1347" s="2" t="s">
        <v>6216</v>
      </c>
      <c r="D1347" s="2" t="s">
        <v>346</v>
      </c>
      <c r="E1347" s="2" t="s">
        <v>346</v>
      </c>
      <c r="F1347" s="2" t="s">
        <v>6217</v>
      </c>
      <c r="G1347" s="2" t="s">
        <v>6218</v>
      </c>
      <c r="H1347" s="2" t="s">
        <v>2160</v>
      </c>
      <c r="I1347" s="2" t="s">
        <v>2040</v>
      </c>
      <c r="J1347" s="2" t="s">
        <v>4501</v>
      </c>
      <c r="K1347" s="2" t="s">
        <v>82</v>
      </c>
      <c r="L1347" s="2" t="s">
        <v>83</v>
      </c>
      <c r="M1347" s="2" t="s">
        <v>0</v>
      </c>
      <c r="N1347" s="2" t="s">
        <v>0</v>
      </c>
      <c r="O1347" s="2">
        <v>14</v>
      </c>
      <c r="P1347" s="2">
        <v>16</v>
      </c>
      <c r="Q1347" s="2" t="s">
        <v>352</v>
      </c>
      <c r="R1347" s="2" t="s">
        <v>47</v>
      </c>
      <c r="S1347" s="2">
        <v>0</v>
      </c>
      <c r="T1347" s="2">
        <v>0</v>
      </c>
      <c r="U1347" s="2">
        <v>0</v>
      </c>
      <c r="V1347" s="2">
        <v>0</v>
      </c>
      <c r="W1347" s="2">
        <v>6</v>
      </c>
      <c r="X1347" s="2" t="s">
        <v>6219</v>
      </c>
      <c r="Y1347" s="2">
        <v>0</v>
      </c>
      <c r="Z1347" s="2">
        <v>6</v>
      </c>
      <c r="AA1347" s="2">
        <v>4</v>
      </c>
      <c r="AB1347" s="2">
        <v>2</v>
      </c>
      <c r="AC1347" s="2">
        <v>5</v>
      </c>
      <c r="AD1347" s="2">
        <v>4</v>
      </c>
      <c r="AE1347" s="2" t="s">
        <v>0</v>
      </c>
      <c r="AF1347" s="2">
        <v>2</v>
      </c>
      <c r="AG1347" s="2" t="s">
        <v>49</v>
      </c>
    </row>
    <row r="1348" spans="1:33" ht="51" x14ac:dyDescent="0.2">
      <c r="A1348" s="5" t="str">
        <f>HYPERLINK("http://www.patentics.cn/invokexml.do?sf=ShowPatent&amp;spn=US9357430&amp;sv=19994ca6d2fc4f66de52d153d2ec675d","US9357430")</f>
        <v>US9357430</v>
      </c>
      <c r="B1348" s="3" t="s">
        <v>3203</v>
      </c>
      <c r="C1348" s="3" t="s">
        <v>3204</v>
      </c>
      <c r="D1348" s="3" t="s">
        <v>52</v>
      </c>
      <c r="E1348" s="3" t="s">
        <v>52</v>
      </c>
      <c r="F1348" s="3" t="s">
        <v>3205</v>
      </c>
      <c r="G1348" s="3" t="s">
        <v>3206</v>
      </c>
      <c r="H1348" s="3" t="s">
        <v>1412</v>
      </c>
      <c r="I1348" s="3" t="s">
        <v>1714</v>
      </c>
      <c r="J1348" s="3" t="s">
        <v>1366</v>
      </c>
      <c r="K1348" s="3" t="s">
        <v>82</v>
      </c>
      <c r="L1348" s="3" t="s">
        <v>3207</v>
      </c>
      <c r="M1348" s="3" t="s">
        <v>82</v>
      </c>
      <c r="N1348" s="3" t="s">
        <v>3208</v>
      </c>
      <c r="O1348" s="3">
        <v>0</v>
      </c>
      <c r="P1348" s="3">
        <v>20</v>
      </c>
      <c r="Q1348" s="3" t="s">
        <v>60</v>
      </c>
      <c r="R1348" s="3" t="s">
        <v>61</v>
      </c>
      <c r="S1348" s="3">
        <v>32</v>
      </c>
      <c r="T1348" s="3">
        <v>5</v>
      </c>
      <c r="U1348" s="3">
        <v>27</v>
      </c>
      <c r="V1348" s="3">
        <v>12</v>
      </c>
      <c r="W1348" s="3">
        <v>0</v>
      </c>
      <c r="X1348" s="3" t="s">
        <v>147</v>
      </c>
      <c r="Y1348" s="3">
        <v>0</v>
      </c>
      <c r="Z1348" s="3">
        <v>0</v>
      </c>
      <c r="AA1348" s="3">
        <v>0</v>
      </c>
      <c r="AB1348" s="3">
        <v>0</v>
      </c>
      <c r="AC1348" s="3">
        <v>15</v>
      </c>
      <c r="AD1348" s="3">
        <v>6</v>
      </c>
      <c r="AE1348" s="3">
        <v>14</v>
      </c>
      <c r="AF1348" s="3" t="s">
        <v>0</v>
      </c>
      <c r="AG1348" s="3" t="s">
        <v>49</v>
      </c>
    </row>
    <row r="1349" spans="1:33" ht="51" x14ac:dyDescent="0.2">
      <c r="A1349" s="5" t="str">
        <f>HYPERLINK("http://www.patentics.cn/invokexml.do?sf=ShowPatent&amp;spn=US9473977&amp;sv=576744f38e7612f603448c4e9389c043","US9473977")</f>
        <v>US9473977</v>
      </c>
      <c r="B1349" s="3" t="s">
        <v>3215</v>
      </c>
      <c r="C1349" s="3" t="s">
        <v>3216</v>
      </c>
      <c r="D1349" s="3" t="s">
        <v>52</v>
      </c>
      <c r="E1349" s="3" t="s">
        <v>52</v>
      </c>
      <c r="F1349" s="3" t="s">
        <v>3205</v>
      </c>
      <c r="G1349" s="3" t="s">
        <v>3206</v>
      </c>
      <c r="H1349" s="3" t="s">
        <v>1412</v>
      </c>
      <c r="I1349" s="3" t="s">
        <v>3217</v>
      </c>
      <c r="J1349" s="3" t="s">
        <v>528</v>
      </c>
      <c r="K1349" s="3" t="s">
        <v>82</v>
      </c>
      <c r="L1349" s="3" t="s">
        <v>3207</v>
      </c>
      <c r="M1349" s="3" t="s">
        <v>82</v>
      </c>
      <c r="N1349" s="3" t="s">
        <v>3208</v>
      </c>
      <c r="O1349" s="3">
        <v>0</v>
      </c>
      <c r="P1349" s="3">
        <v>22</v>
      </c>
      <c r="Q1349" s="3" t="s">
        <v>60</v>
      </c>
      <c r="R1349" s="3" t="s">
        <v>61</v>
      </c>
      <c r="S1349" s="3">
        <v>36</v>
      </c>
      <c r="T1349" s="3">
        <v>6</v>
      </c>
      <c r="U1349" s="3">
        <v>30</v>
      </c>
      <c r="V1349" s="3">
        <v>14</v>
      </c>
      <c r="W1349" s="3">
        <v>0</v>
      </c>
      <c r="X1349" s="3" t="s">
        <v>147</v>
      </c>
      <c r="Y1349" s="3">
        <v>0</v>
      </c>
      <c r="Z1349" s="3">
        <v>0</v>
      </c>
      <c r="AA1349" s="3">
        <v>0</v>
      </c>
      <c r="AB1349" s="3">
        <v>0</v>
      </c>
      <c r="AC1349" s="3">
        <v>15</v>
      </c>
      <c r="AD1349" s="3">
        <v>6</v>
      </c>
      <c r="AE1349" s="3">
        <v>14</v>
      </c>
      <c r="AF1349" s="3" t="s">
        <v>0</v>
      </c>
      <c r="AG1349" s="3" t="s">
        <v>49</v>
      </c>
    </row>
    <row r="1350" spans="1:33" ht="25.5" x14ac:dyDescent="0.2">
      <c r="A1350" s="4" t="str">
        <f>HYPERLINK("http://www.patentics.cn/invokexml.do?sf=ShowPatent&amp;spn=US20120303846&amp;sv=f674dd9baa5868a2c392ee018480931c","US20120303846")</f>
        <v>US20120303846</v>
      </c>
      <c r="B1350" s="2" t="s">
        <v>6220</v>
      </c>
      <c r="C1350" s="2" t="s">
        <v>6221</v>
      </c>
      <c r="D1350" s="2" t="s">
        <v>346</v>
      </c>
      <c r="E1350" s="2" t="s">
        <v>346</v>
      </c>
      <c r="F1350" s="2" t="s">
        <v>6222</v>
      </c>
      <c r="G1350" s="2" t="s">
        <v>6222</v>
      </c>
      <c r="H1350" s="2" t="s">
        <v>4523</v>
      </c>
      <c r="I1350" s="2" t="s">
        <v>6223</v>
      </c>
      <c r="J1350" s="2" t="s">
        <v>6224</v>
      </c>
      <c r="K1350" s="2" t="s">
        <v>555</v>
      </c>
      <c r="L1350" s="2" t="s">
        <v>6225</v>
      </c>
      <c r="M1350" s="2" t="s">
        <v>0</v>
      </c>
      <c r="N1350" s="2" t="s">
        <v>0</v>
      </c>
      <c r="O1350" s="2">
        <v>14</v>
      </c>
      <c r="P1350" s="2">
        <v>10</v>
      </c>
      <c r="Q1350" s="2" t="s">
        <v>352</v>
      </c>
      <c r="R1350" s="2" t="s">
        <v>47</v>
      </c>
      <c r="S1350" s="2">
        <v>0</v>
      </c>
      <c r="T1350" s="2">
        <v>0</v>
      </c>
      <c r="U1350" s="2">
        <v>0</v>
      </c>
      <c r="V1350" s="2">
        <v>0</v>
      </c>
      <c r="W1350" s="2">
        <v>2</v>
      </c>
      <c r="X1350" s="2" t="s">
        <v>1148</v>
      </c>
      <c r="Y1350" s="2">
        <v>0</v>
      </c>
      <c r="Z1350" s="2">
        <v>2</v>
      </c>
      <c r="AA1350" s="2">
        <v>1</v>
      </c>
      <c r="AB1350" s="2">
        <v>1</v>
      </c>
      <c r="AC1350" s="2">
        <v>5</v>
      </c>
      <c r="AD1350" s="2">
        <v>4</v>
      </c>
      <c r="AE1350" s="2" t="s">
        <v>0</v>
      </c>
      <c r="AF1350" s="2">
        <v>2</v>
      </c>
      <c r="AG1350" s="2" t="s">
        <v>49</v>
      </c>
    </row>
    <row r="1351" spans="1:33" ht="63.75" x14ac:dyDescent="0.2">
      <c r="A1351" s="5" t="str">
        <f>HYPERLINK("http://www.patentics.cn/invokexml.do?sf=ShowPatent&amp;spn=US8909818&amp;sv=1897a6a057d93f42d57bf3d1bda394fd","US8909818")</f>
        <v>US8909818</v>
      </c>
      <c r="B1351" s="3" t="s">
        <v>6226</v>
      </c>
      <c r="C1351" s="3" t="s">
        <v>6227</v>
      </c>
      <c r="D1351" s="3" t="s">
        <v>52</v>
      </c>
      <c r="E1351" s="3" t="s">
        <v>52</v>
      </c>
      <c r="F1351" s="3" t="s">
        <v>6228</v>
      </c>
      <c r="G1351" s="3" t="s">
        <v>6229</v>
      </c>
      <c r="H1351" s="3" t="s">
        <v>6230</v>
      </c>
      <c r="I1351" s="3" t="s">
        <v>6230</v>
      </c>
      <c r="J1351" s="3" t="s">
        <v>2848</v>
      </c>
      <c r="K1351" s="3" t="s">
        <v>555</v>
      </c>
      <c r="L1351" s="3" t="s">
        <v>6231</v>
      </c>
      <c r="M1351" s="3" t="s">
        <v>6232</v>
      </c>
      <c r="N1351" s="3" t="s">
        <v>6233</v>
      </c>
      <c r="O1351" s="3">
        <v>0</v>
      </c>
      <c r="P1351" s="3">
        <v>11</v>
      </c>
      <c r="Q1351" s="3" t="s">
        <v>60</v>
      </c>
      <c r="R1351" s="3" t="s">
        <v>61</v>
      </c>
      <c r="S1351" s="3">
        <v>6</v>
      </c>
      <c r="T1351" s="3">
        <v>1</v>
      </c>
      <c r="U1351" s="3">
        <v>5</v>
      </c>
      <c r="V1351" s="3">
        <v>6</v>
      </c>
      <c r="W1351" s="3">
        <v>1</v>
      </c>
      <c r="X1351" s="3" t="s">
        <v>1186</v>
      </c>
      <c r="Y1351" s="3">
        <v>0</v>
      </c>
      <c r="Z1351" s="3">
        <v>1</v>
      </c>
      <c r="AA1351" s="3">
        <v>1</v>
      </c>
      <c r="AB1351" s="3">
        <v>1</v>
      </c>
      <c r="AC1351" s="3">
        <v>3</v>
      </c>
      <c r="AD1351" s="3">
        <v>1</v>
      </c>
      <c r="AE1351" s="3">
        <v>14</v>
      </c>
      <c r="AF1351" s="3" t="s">
        <v>0</v>
      </c>
      <c r="AG1351" s="3" t="s">
        <v>49</v>
      </c>
    </row>
    <row r="1352" spans="1:33" ht="63.75" x14ac:dyDescent="0.2">
      <c r="A1352" s="5" t="str">
        <f>HYPERLINK("http://www.patentics.cn/invokexml.do?sf=ShowPatent&amp;spn=US9092334&amp;sv=a1bddc0b6b4881c0d5a8b3f64ceabebd","US9092334")</f>
        <v>US9092334</v>
      </c>
      <c r="B1352" s="3" t="s">
        <v>6234</v>
      </c>
      <c r="C1352" s="3" t="s">
        <v>6227</v>
      </c>
      <c r="D1352" s="3" t="s">
        <v>52</v>
      </c>
      <c r="E1352" s="3" t="s">
        <v>52</v>
      </c>
      <c r="F1352" s="3" t="s">
        <v>6235</v>
      </c>
      <c r="G1352" s="3" t="s">
        <v>6229</v>
      </c>
      <c r="H1352" s="3" t="s">
        <v>6230</v>
      </c>
      <c r="I1352" s="3" t="s">
        <v>1778</v>
      </c>
      <c r="J1352" s="3" t="s">
        <v>2214</v>
      </c>
      <c r="K1352" s="3" t="s">
        <v>555</v>
      </c>
      <c r="L1352" s="3" t="s">
        <v>6231</v>
      </c>
      <c r="M1352" s="3" t="s">
        <v>0</v>
      </c>
      <c r="N1352" s="3" t="s">
        <v>0</v>
      </c>
      <c r="O1352" s="3">
        <v>0</v>
      </c>
      <c r="P1352" s="3">
        <v>13</v>
      </c>
      <c r="Q1352" s="3" t="s">
        <v>60</v>
      </c>
      <c r="R1352" s="3" t="s">
        <v>61</v>
      </c>
      <c r="S1352" s="3">
        <v>8</v>
      </c>
      <c r="T1352" s="3">
        <v>1</v>
      </c>
      <c r="U1352" s="3">
        <v>7</v>
      </c>
      <c r="V1352" s="3">
        <v>8</v>
      </c>
      <c r="W1352" s="3">
        <v>0</v>
      </c>
      <c r="X1352" s="3" t="s">
        <v>147</v>
      </c>
      <c r="Y1352" s="3">
        <v>0</v>
      </c>
      <c r="Z1352" s="3">
        <v>0</v>
      </c>
      <c r="AA1352" s="3">
        <v>0</v>
      </c>
      <c r="AB1352" s="3">
        <v>0</v>
      </c>
      <c r="AC1352" s="3">
        <v>3</v>
      </c>
      <c r="AD1352" s="3">
        <v>1</v>
      </c>
      <c r="AE1352" s="3">
        <v>14</v>
      </c>
      <c r="AF1352" s="3" t="s">
        <v>0</v>
      </c>
      <c r="AG1352" s="3" t="s">
        <v>49</v>
      </c>
    </row>
    <row r="1353" spans="1:33" ht="51" x14ac:dyDescent="0.2">
      <c r="A1353" s="4" t="str">
        <f>HYPERLINK("http://www.patentics.cn/invokexml.do?sf=ShowPatent&amp;spn=US20120263248&amp;sv=2b5f2bd1490748a916a08dfec3091aec","US20120263248")</f>
        <v>US20120263248</v>
      </c>
      <c r="B1353" s="2" t="s">
        <v>6236</v>
      </c>
      <c r="C1353" s="2" t="s">
        <v>6237</v>
      </c>
      <c r="D1353" s="2" t="s">
        <v>346</v>
      </c>
      <c r="E1353" s="2" t="s">
        <v>346</v>
      </c>
      <c r="F1353" s="2" t="s">
        <v>6238</v>
      </c>
      <c r="G1353" s="2" t="s">
        <v>6239</v>
      </c>
      <c r="H1353" s="2" t="s">
        <v>4150</v>
      </c>
      <c r="I1353" s="2" t="s">
        <v>3175</v>
      </c>
      <c r="J1353" s="2" t="s">
        <v>3176</v>
      </c>
      <c r="K1353" s="2" t="s">
        <v>84</v>
      </c>
      <c r="L1353" s="2" t="s">
        <v>343</v>
      </c>
      <c r="M1353" s="2" t="s">
        <v>0</v>
      </c>
      <c r="N1353" s="2" t="s">
        <v>0</v>
      </c>
      <c r="O1353" s="2">
        <v>14</v>
      </c>
      <c r="P1353" s="2">
        <v>11</v>
      </c>
      <c r="Q1353" s="2" t="s">
        <v>352</v>
      </c>
      <c r="R1353" s="2" t="s">
        <v>47</v>
      </c>
      <c r="S1353" s="2">
        <v>0</v>
      </c>
      <c r="T1353" s="2">
        <v>0</v>
      </c>
      <c r="U1353" s="2">
        <v>0</v>
      </c>
      <c r="V1353" s="2">
        <v>0</v>
      </c>
      <c r="W1353" s="2">
        <v>2</v>
      </c>
      <c r="X1353" s="2" t="s">
        <v>403</v>
      </c>
      <c r="Y1353" s="2">
        <v>0</v>
      </c>
      <c r="Z1353" s="2">
        <v>2</v>
      </c>
      <c r="AA1353" s="2">
        <v>1</v>
      </c>
      <c r="AB1353" s="2">
        <v>1</v>
      </c>
      <c r="AC1353" s="2">
        <v>4</v>
      </c>
      <c r="AD1353" s="2">
        <v>4</v>
      </c>
      <c r="AE1353" s="2" t="s">
        <v>0</v>
      </c>
      <c r="AF1353" s="2">
        <v>2</v>
      </c>
      <c r="AG1353" s="2" t="s">
        <v>49</v>
      </c>
    </row>
    <row r="1354" spans="1:33" ht="38.25" x14ac:dyDescent="0.2">
      <c r="A1354" s="5" t="str">
        <f>HYPERLINK("http://www.patentics.cn/invokexml.do?sf=ShowPatent&amp;spn=US8934560&amp;sv=f66e209a1b00b8169192f1e47c481871","US8934560")</f>
        <v>US8934560</v>
      </c>
      <c r="B1354" s="3" t="s">
        <v>6240</v>
      </c>
      <c r="C1354" s="3" t="s">
        <v>6241</v>
      </c>
      <c r="D1354" s="3" t="s">
        <v>52</v>
      </c>
      <c r="E1354" s="3" t="s">
        <v>52</v>
      </c>
      <c r="F1354" s="3" t="s">
        <v>6242</v>
      </c>
      <c r="G1354" s="3" t="s">
        <v>3733</v>
      </c>
      <c r="H1354" s="3" t="s">
        <v>1153</v>
      </c>
      <c r="I1354" s="3" t="s">
        <v>2053</v>
      </c>
      <c r="J1354" s="3" t="s">
        <v>496</v>
      </c>
      <c r="K1354" s="3" t="s">
        <v>84</v>
      </c>
      <c r="L1354" s="3" t="s">
        <v>135</v>
      </c>
      <c r="M1354" s="3" t="s">
        <v>84</v>
      </c>
      <c r="N1354" s="3" t="s">
        <v>6243</v>
      </c>
      <c r="O1354" s="3">
        <v>0</v>
      </c>
      <c r="P1354" s="3">
        <v>9</v>
      </c>
      <c r="Q1354" s="3" t="s">
        <v>60</v>
      </c>
      <c r="R1354" s="3" t="s">
        <v>61</v>
      </c>
      <c r="S1354" s="3">
        <v>37</v>
      </c>
      <c r="T1354" s="3">
        <v>8</v>
      </c>
      <c r="U1354" s="3">
        <v>29</v>
      </c>
      <c r="V1354" s="3">
        <v>14</v>
      </c>
      <c r="W1354" s="3">
        <v>1</v>
      </c>
      <c r="X1354" s="3" t="s">
        <v>108</v>
      </c>
      <c r="Y1354" s="3">
        <v>1</v>
      </c>
      <c r="Z1354" s="3">
        <v>0</v>
      </c>
      <c r="AA1354" s="3">
        <v>1</v>
      </c>
      <c r="AB1354" s="3">
        <v>1</v>
      </c>
      <c r="AC1354" s="3">
        <v>14</v>
      </c>
      <c r="AD1354" s="3">
        <v>6</v>
      </c>
      <c r="AE1354" s="3">
        <v>14</v>
      </c>
      <c r="AF1354" s="3" t="s">
        <v>0</v>
      </c>
      <c r="AG1354" s="3" t="s">
        <v>49</v>
      </c>
    </row>
    <row r="1355" spans="1:33" ht="38.25" x14ac:dyDescent="0.2">
      <c r="A1355" s="5" t="str">
        <f>HYPERLINK("http://www.patentics.cn/invokexml.do?sf=ShowPatent&amp;spn=US9363001&amp;sv=d03de99454bf1ceeb147d3fc44939bb3","US9363001")</f>
        <v>US9363001</v>
      </c>
      <c r="B1355" s="3" t="s">
        <v>6244</v>
      </c>
      <c r="C1355" s="3" t="s">
        <v>6241</v>
      </c>
      <c r="D1355" s="3" t="s">
        <v>52</v>
      </c>
      <c r="E1355" s="3" t="s">
        <v>52</v>
      </c>
      <c r="F1355" s="3" t="s">
        <v>6242</v>
      </c>
      <c r="G1355" s="3" t="s">
        <v>3733</v>
      </c>
      <c r="H1355" s="3" t="s">
        <v>1153</v>
      </c>
      <c r="I1355" s="3" t="s">
        <v>2848</v>
      </c>
      <c r="J1355" s="3" t="s">
        <v>3715</v>
      </c>
      <c r="K1355" s="3" t="s">
        <v>84</v>
      </c>
      <c r="L1355" s="3" t="s">
        <v>135</v>
      </c>
      <c r="M1355" s="3" t="s">
        <v>84</v>
      </c>
      <c r="N1355" s="3" t="s">
        <v>6243</v>
      </c>
      <c r="O1355" s="3">
        <v>0</v>
      </c>
      <c r="P1355" s="3">
        <v>15</v>
      </c>
      <c r="Q1355" s="3" t="s">
        <v>60</v>
      </c>
      <c r="R1355" s="3" t="s">
        <v>61</v>
      </c>
      <c r="S1355" s="3">
        <v>46</v>
      </c>
      <c r="T1355" s="3">
        <v>13</v>
      </c>
      <c r="U1355" s="3">
        <v>33</v>
      </c>
      <c r="V1355" s="3">
        <v>16</v>
      </c>
      <c r="W1355" s="3">
        <v>0</v>
      </c>
      <c r="X1355" s="3" t="s">
        <v>147</v>
      </c>
      <c r="Y1355" s="3">
        <v>0</v>
      </c>
      <c r="Z1355" s="3">
        <v>0</v>
      </c>
      <c r="AA1355" s="3">
        <v>0</v>
      </c>
      <c r="AB1355" s="3">
        <v>0</v>
      </c>
      <c r="AC1355" s="3">
        <v>14</v>
      </c>
      <c r="AD1355" s="3">
        <v>6</v>
      </c>
      <c r="AE1355" s="3">
        <v>14</v>
      </c>
      <c r="AF1355" s="3" t="s">
        <v>0</v>
      </c>
      <c r="AG1355" s="3" t="s">
        <v>49</v>
      </c>
    </row>
    <row r="1356" spans="1:33" ht="63.75" x14ac:dyDescent="0.2">
      <c r="A1356" s="4" t="str">
        <f>HYPERLINK("http://www.patentics.cn/invokexml.do?sf=ShowPatent&amp;spn=US20120236799&amp;sv=a71d861bf6b5c5e74936580f7574ab32","US20120236799")</f>
        <v>US20120236799</v>
      </c>
      <c r="B1356" s="2" t="s">
        <v>6245</v>
      </c>
      <c r="C1356" s="2" t="s">
        <v>6246</v>
      </c>
      <c r="D1356" s="2" t="s">
        <v>346</v>
      </c>
      <c r="E1356" s="2" t="s">
        <v>346</v>
      </c>
      <c r="F1356" s="2" t="s">
        <v>3172</v>
      </c>
      <c r="G1356" s="2" t="s">
        <v>3173</v>
      </c>
      <c r="H1356" s="2" t="s">
        <v>3174</v>
      </c>
      <c r="I1356" s="2" t="s">
        <v>3175</v>
      </c>
      <c r="J1356" s="2" t="s">
        <v>4166</v>
      </c>
      <c r="K1356" s="2" t="s">
        <v>82</v>
      </c>
      <c r="L1356" s="2" t="s">
        <v>862</v>
      </c>
      <c r="M1356" s="2" t="s">
        <v>0</v>
      </c>
      <c r="N1356" s="2" t="s">
        <v>0</v>
      </c>
      <c r="O1356" s="2">
        <v>19</v>
      </c>
      <c r="P1356" s="2">
        <v>15</v>
      </c>
      <c r="Q1356" s="2" t="s">
        <v>352</v>
      </c>
      <c r="R1356" s="2" t="s">
        <v>47</v>
      </c>
      <c r="S1356" s="2">
        <v>0</v>
      </c>
      <c r="T1356" s="2">
        <v>0</v>
      </c>
      <c r="U1356" s="2">
        <v>0</v>
      </c>
      <c r="V1356" s="2">
        <v>0</v>
      </c>
      <c r="W1356" s="2">
        <v>3</v>
      </c>
      <c r="X1356" s="2" t="s">
        <v>189</v>
      </c>
      <c r="Y1356" s="2">
        <v>0</v>
      </c>
      <c r="Z1356" s="2">
        <v>3</v>
      </c>
      <c r="AA1356" s="2">
        <v>2</v>
      </c>
      <c r="AB1356" s="2">
        <v>1</v>
      </c>
      <c r="AC1356" s="2">
        <v>5</v>
      </c>
      <c r="AD1356" s="2">
        <v>4</v>
      </c>
      <c r="AE1356" s="2" t="s">
        <v>0</v>
      </c>
      <c r="AF1356" s="2">
        <v>2</v>
      </c>
      <c r="AG1356" s="2" t="s">
        <v>49</v>
      </c>
    </row>
    <row r="1357" spans="1:33" ht="140.25" x14ac:dyDescent="0.2">
      <c r="A1357" s="5" t="str">
        <f>HYPERLINK("http://www.patentics.cn/invokexml.do?sf=ShowPatent&amp;spn=US9497773&amp;sv=9f5ca13aa8670bdaef866e1d2ee65c52","US9497773")</f>
        <v>US9497773</v>
      </c>
      <c r="B1357" s="3" t="s">
        <v>6247</v>
      </c>
      <c r="C1357" s="3" t="s">
        <v>6248</v>
      </c>
      <c r="D1357" s="3" t="s">
        <v>52</v>
      </c>
      <c r="E1357" s="3" t="s">
        <v>52</v>
      </c>
      <c r="F1357" s="3" t="s">
        <v>6249</v>
      </c>
      <c r="G1357" s="3" t="s">
        <v>1113</v>
      </c>
      <c r="H1357" s="3" t="s">
        <v>6250</v>
      </c>
      <c r="I1357" s="3" t="s">
        <v>1970</v>
      </c>
      <c r="J1357" s="3" t="s">
        <v>1677</v>
      </c>
      <c r="K1357" s="3" t="s">
        <v>82</v>
      </c>
      <c r="L1357" s="3" t="s">
        <v>997</v>
      </c>
      <c r="M1357" s="3" t="s">
        <v>82</v>
      </c>
      <c r="N1357" s="3" t="s">
        <v>6251</v>
      </c>
      <c r="O1357" s="3">
        <v>0</v>
      </c>
      <c r="P1357" s="3">
        <v>24</v>
      </c>
      <c r="Q1357" s="3" t="s">
        <v>60</v>
      </c>
      <c r="R1357" s="3" t="s">
        <v>61</v>
      </c>
      <c r="S1357" s="3">
        <v>177</v>
      </c>
      <c r="T1357" s="3">
        <v>26</v>
      </c>
      <c r="U1357" s="3">
        <v>151</v>
      </c>
      <c r="V1357" s="3">
        <v>34</v>
      </c>
      <c r="W1357" s="3">
        <v>0</v>
      </c>
      <c r="X1357" s="3" t="s">
        <v>147</v>
      </c>
      <c r="Y1357" s="3">
        <v>0</v>
      </c>
      <c r="Z1357" s="3">
        <v>0</v>
      </c>
      <c r="AA1357" s="3">
        <v>0</v>
      </c>
      <c r="AB1357" s="3">
        <v>0</v>
      </c>
      <c r="AC1357" s="3">
        <v>22</v>
      </c>
      <c r="AD1357" s="3">
        <v>7</v>
      </c>
      <c r="AE1357" s="3">
        <v>14</v>
      </c>
      <c r="AF1357" s="3" t="s">
        <v>0</v>
      </c>
      <c r="AG1357" s="3" t="s">
        <v>49</v>
      </c>
    </row>
    <row r="1358" spans="1:33" ht="63.75" x14ac:dyDescent="0.2">
      <c r="A1358" s="5" t="str">
        <f>HYPERLINK("http://www.patentics.cn/invokexml.do?sf=ShowPatent&amp;spn=US9516609&amp;sv=b0694fec64ec379abb9f4958c1d15663","US9516609")</f>
        <v>US9516609</v>
      </c>
      <c r="B1358" s="3" t="s">
        <v>6252</v>
      </c>
      <c r="C1358" s="3" t="s">
        <v>6253</v>
      </c>
      <c r="D1358" s="3" t="s">
        <v>52</v>
      </c>
      <c r="E1358" s="3" t="s">
        <v>52</v>
      </c>
      <c r="F1358" s="3" t="s">
        <v>6254</v>
      </c>
      <c r="G1358" s="3" t="s">
        <v>3073</v>
      </c>
      <c r="H1358" s="3" t="s">
        <v>1998</v>
      </c>
      <c r="I1358" s="3" t="s">
        <v>1999</v>
      </c>
      <c r="J1358" s="3" t="s">
        <v>3261</v>
      </c>
      <c r="K1358" s="3" t="s">
        <v>82</v>
      </c>
      <c r="L1358" s="3" t="s">
        <v>2288</v>
      </c>
      <c r="M1358" s="3" t="s">
        <v>82</v>
      </c>
      <c r="N1358" s="3" t="s">
        <v>863</v>
      </c>
      <c r="O1358" s="3">
        <v>0</v>
      </c>
      <c r="P1358" s="3">
        <v>27</v>
      </c>
      <c r="Q1358" s="3" t="s">
        <v>60</v>
      </c>
      <c r="R1358" s="3" t="s">
        <v>61</v>
      </c>
      <c r="S1358" s="3">
        <v>174</v>
      </c>
      <c r="T1358" s="3">
        <v>22</v>
      </c>
      <c r="U1358" s="3">
        <v>152</v>
      </c>
      <c r="V1358" s="3">
        <v>33</v>
      </c>
      <c r="W1358" s="3">
        <v>0</v>
      </c>
      <c r="X1358" s="3" t="s">
        <v>147</v>
      </c>
      <c r="Y1358" s="3">
        <v>0</v>
      </c>
      <c r="Z1358" s="3">
        <v>0</v>
      </c>
      <c r="AA1358" s="3">
        <v>0</v>
      </c>
      <c r="AB1358" s="3">
        <v>0</v>
      </c>
      <c r="AC1358" s="3">
        <v>71</v>
      </c>
      <c r="AD1358" s="3">
        <v>13</v>
      </c>
      <c r="AE1358" s="3">
        <v>14</v>
      </c>
      <c r="AF1358" s="3" t="s">
        <v>0</v>
      </c>
      <c r="AG1358" s="3" t="s">
        <v>49</v>
      </c>
    </row>
    <row r="1359" spans="1:33" ht="38.25" x14ac:dyDescent="0.2">
      <c r="A1359" s="4" t="str">
        <f>HYPERLINK("http://www.patentics.cn/invokexml.do?sf=ShowPatent&amp;spn=US20120229406&amp;sv=4f6e52a641eb535934dcbb932b48ca8e","US20120229406")</f>
        <v>US20120229406</v>
      </c>
      <c r="B1359" s="2" t="s">
        <v>6255</v>
      </c>
      <c r="C1359" s="2" t="s">
        <v>6256</v>
      </c>
      <c r="D1359" s="2" t="s">
        <v>346</v>
      </c>
      <c r="E1359" s="2" t="s">
        <v>346</v>
      </c>
      <c r="F1359" s="2" t="s">
        <v>6257</v>
      </c>
      <c r="G1359" s="2" t="s">
        <v>6257</v>
      </c>
      <c r="H1359" s="2" t="s">
        <v>5879</v>
      </c>
      <c r="I1359" s="2" t="s">
        <v>1992</v>
      </c>
      <c r="J1359" s="2" t="s">
        <v>6258</v>
      </c>
      <c r="K1359" s="2" t="s">
        <v>555</v>
      </c>
      <c r="L1359" s="2" t="s">
        <v>6259</v>
      </c>
      <c r="M1359" s="2" t="s">
        <v>0</v>
      </c>
      <c r="N1359" s="2" t="s">
        <v>0</v>
      </c>
      <c r="O1359" s="2">
        <v>20</v>
      </c>
      <c r="P1359" s="2">
        <v>20</v>
      </c>
      <c r="Q1359" s="2" t="s">
        <v>352</v>
      </c>
      <c r="R1359" s="2" t="s">
        <v>47</v>
      </c>
      <c r="S1359" s="2">
        <v>0</v>
      </c>
      <c r="T1359" s="2">
        <v>0</v>
      </c>
      <c r="U1359" s="2">
        <v>0</v>
      </c>
      <c r="V1359" s="2">
        <v>0</v>
      </c>
      <c r="W1359" s="2">
        <v>15</v>
      </c>
      <c r="X1359" s="2" t="s">
        <v>6260</v>
      </c>
      <c r="Y1359" s="2">
        <v>0</v>
      </c>
      <c r="Z1359" s="2">
        <v>15</v>
      </c>
      <c r="AA1359" s="2">
        <v>10</v>
      </c>
      <c r="AB1359" s="2">
        <v>1</v>
      </c>
      <c r="AC1359" s="2">
        <v>5</v>
      </c>
      <c r="AD1359" s="2">
        <v>4</v>
      </c>
      <c r="AE1359" s="2" t="s">
        <v>0</v>
      </c>
      <c r="AF1359" s="2">
        <v>2</v>
      </c>
      <c r="AG1359" s="2" t="s">
        <v>2231</v>
      </c>
    </row>
    <row r="1360" spans="1:33" ht="102" x14ac:dyDescent="0.2">
      <c r="A1360" s="5" t="str">
        <f>HYPERLINK("http://www.patentics.cn/invokexml.do?sf=ShowPatent&amp;spn=US8593418&amp;sv=ec22c33bdeafac48ed9287f2f3a7345b","US8593418")</f>
        <v>US8593418</v>
      </c>
      <c r="B1360" s="3" t="s">
        <v>6261</v>
      </c>
      <c r="C1360" s="3" t="s">
        <v>6262</v>
      </c>
      <c r="D1360" s="3" t="s">
        <v>52</v>
      </c>
      <c r="E1360" s="3" t="s">
        <v>52</v>
      </c>
      <c r="F1360" s="3" t="s">
        <v>6263</v>
      </c>
      <c r="G1360" s="3" t="s">
        <v>6264</v>
      </c>
      <c r="H1360" s="3" t="s">
        <v>6265</v>
      </c>
      <c r="I1360" s="3" t="s">
        <v>6265</v>
      </c>
      <c r="J1360" s="3" t="s">
        <v>5794</v>
      </c>
      <c r="K1360" s="3" t="s">
        <v>555</v>
      </c>
      <c r="L1360" s="3" t="s">
        <v>6259</v>
      </c>
      <c r="M1360" s="3" t="s">
        <v>555</v>
      </c>
      <c r="N1360" s="3" t="s">
        <v>6266</v>
      </c>
      <c r="O1360" s="3">
        <v>0</v>
      </c>
      <c r="P1360" s="3">
        <v>12</v>
      </c>
      <c r="Q1360" s="3" t="s">
        <v>60</v>
      </c>
      <c r="R1360" s="3" t="s">
        <v>61</v>
      </c>
      <c r="S1360" s="3">
        <v>40</v>
      </c>
      <c r="T1360" s="3">
        <v>0</v>
      </c>
      <c r="U1360" s="3">
        <v>40</v>
      </c>
      <c r="V1360" s="3">
        <v>18</v>
      </c>
      <c r="W1360" s="3">
        <v>2</v>
      </c>
      <c r="X1360" s="3" t="s">
        <v>1351</v>
      </c>
      <c r="Y1360" s="3">
        <v>0</v>
      </c>
      <c r="Z1360" s="3">
        <v>2</v>
      </c>
      <c r="AA1360" s="3">
        <v>2</v>
      </c>
      <c r="AB1360" s="3">
        <v>1</v>
      </c>
      <c r="AC1360" s="3">
        <v>7</v>
      </c>
      <c r="AD1360" s="3">
        <v>6</v>
      </c>
      <c r="AE1360" s="3">
        <v>14</v>
      </c>
      <c r="AF1360" s="3" t="s">
        <v>0</v>
      </c>
      <c r="AG1360" s="3" t="s">
        <v>49</v>
      </c>
    </row>
    <row r="1361" spans="1:33" ht="140.25" x14ac:dyDescent="0.2">
      <c r="A1361" s="5" t="str">
        <f>HYPERLINK("http://www.patentics.cn/invokexml.do?sf=ShowPatent&amp;spn=US9350852&amp;sv=f5a95e6e1bb222a5741fa127708a9458","US9350852")</f>
        <v>US9350852</v>
      </c>
      <c r="B1361" s="3" t="s">
        <v>6267</v>
      </c>
      <c r="C1361" s="3" t="s">
        <v>6268</v>
      </c>
      <c r="D1361" s="3" t="s">
        <v>52</v>
      </c>
      <c r="E1361" s="3" t="s">
        <v>52</v>
      </c>
      <c r="F1361" s="3" t="s">
        <v>6269</v>
      </c>
      <c r="G1361" s="3" t="s">
        <v>6270</v>
      </c>
      <c r="H1361" s="3" t="s">
        <v>0</v>
      </c>
      <c r="I1361" s="3" t="s">
        <v>1070</v>
      </c>
      <c r="J1361" s="3" t="s">
        <v>1184</v>
      </c>
      <c r="K1361" s="3" t="s">
        <v>270</v>
      </c>
      <c r="L1361" s="3" t="s">
        <v>5631</v>
      </c>
      <c r="M1361" s="3" t="s">
        <v>270</v>
      </c>
      <c r="N1361" s="3" t="s">
        <v>6271</v>
      </c>
      <c r="O1361" s="3">
        <v>0</v>
      </c>
      <c r="P1361" s="3">
        <v>12</v>
      </c>
      <c r="Q1361" s="3" t="s">
        <v>60</v>
      </c>
      <c r="R1361" s="3" t="s">
        <v>61</v>
      </c>
      <c r="S1361" s="3">
        <v>18</v>
      </c>
      <c r="T1361" s="3">
        <v>0</v>
      </c>
      <c r="U1361" s="3">
        <v>18</v>
      </c>
      <c r="V1361" s="3">
        <v>13</v>
      </c>
      <c r="W1361" s="3">
        <v>0</v>
      </c>
      <c r="X1361" s="3" t="s">
        <v>147</v>
      </c>
      <c r="Y1361" s="3">
        <v>0</v>
      </c>
      <c r="Z1361" s="3">
        <v>0</v>
      </c>
      <c r="AA1361" s="3">
        <v>0</v>
      </c>
      <c r="AB1361" s="3">
        <v>0</v>
      </c>
      <c r="AC1361" s="3">
        <v>0</v>
      </c>
      <c r="AD1361" s="3">
        <v>0</v>
      </c>
      <c r="AE1361" s="3">
        <v>14</v>
      </c>
      <c r="AF1361" s="3" t="s">
        <v>0</v>
      </c>
      <c r="AG1361" s="3" t="s">
        <v>49</v>
      </c>
    </row>
    <row r="1362" spans="1:33" ht="38.25" x14ac:dyDescent="0.2">
      <c r="A1362" s="4" t="str">
        <f>HYPERLINK("http://www.patentics.cn/invokexml.do?sf=ShowPatent&amp;spn=US20120229084&amp;sv=0b2045e6fd61475077c5ff15e0442e71","US20120229084")</f>
        <v>US20120229084</v>
      </c>
      <c r="B1362" s="2" t="s">
        <v>6272</v>
      </c>
      <c r="C1362" s="2" t="s">
        <v>6273</v>
      </c>
      <c r="D1362" s="2" t="s">
        <v>346</v>
      </c>
      <c r="E1362" s="2" t="s">
        <v>346</v>
      </c>
      <c r="F1362" s="2" t="s">
        <v>6274</v>
      </c>
      <c r="G1362" s="2" t="s">
        <v>6274</v>
      </c>
      <c r="H1362" s="2" t="s">
        <v>1056</v>
      </c>
      <c r="I1362" s="2" t="s">
        <v>4281</v>
      </c>
      <c r="J1362" s="2" t="s">
        <v>6258</v>
      </c>
      <c r="K1362" s="2" t="s">
        <v>2110</v>
      </c>
      <c r="L1362" s="2" t="s">
        <v>2111</v>
      </c>
      <c r="M1362" s="2" t="s">
        <v>0</v>
      </c>
      <c r="N1362" s="2" t="s">
        <v>0</v>
      </c>
      <c r="O1362" s="2">
        <v>9</v>
      </c>
      <c r="P1362" s="2">
        <v>10</v>
      </c>
      <c r="Q1362" s="2" t="s">
        <v>352</v>
      </c>
      <c r="R1362" s="2" t="s">
        <v>47</v>
      </c>
      <c r="S1362" s="2">
        <v>0</v>
      </c>
      <c r="T1362" s="2">
        <v>0</v>
      </c>
      <c r="U1362" s="2">
        <v>0</v>
      </c>
      <c r="V1362" s="2">
        <v>0</v>
      </c>
      <c r="W1362" s="2">
        <v>3</v>
      </c>
      <c r="X1362" s="2" t="s">
        <v>1148</v>
      </c>
      <c r="Y1362" s="2">
        <v>0</v>
      </c>
      <c r="Z1362" s="2">
        <v>3</v>
      </c>
      <c r="AA1362" s="2">
        <v>2</v>
      </c>
      <c r="AB1362" s="2">
        <v>1</v>
      </c>
      <c r="AC1362" s="2">
        <v>5</v>
      </c>
      <c r="AD1362" s="2">
        <v>4</v>
      </c>
      <c r="AE1362" s="2" t="s">
        <v>0</v>
      </c>
      <c r="AF1362" s="2">
        <v>2</v>
      </c>
      <c r="AG1362" s="2" t="s">
        <v>49</v>
      </c>
    </row>
    <row r="1363" spans="1:33" ht="63.75" x14ac:dyDescent="0.2">
      <c r="A1363" s="5" t="str">
        <f>HYPERLINK("http://www.patentics.cn/invokexml.do?sf=ShowPatent&amp;spn=US8704484&amp;sv=3a21b5ec3d7e6c0ae8f9293f16dc527b","US8704484")</f>
        <v>US8704484</v>
      </c>
      <c r="B1363" s="3" t="s">
        <v>6275</v>
      </c>
      <c r="C1363" s="3" t="s">
        <v>6276</v>
      </c>
      <c r="D1363" s="3" t="s">
        <v>52</v>
      </c>
      <c r="E1363" s="3" t="s">
        <v>52</v>
      </c>
      <c r="F1363" s="3" t="s">
        <v>6277</v>
      </c>
      <c r="G1363" s="3" t="s">
        <v>6278</v>
      </c>
      <c r="H1363" s="3" t="s">
        <v>5507</v>
      </c>
      <c r="I1363" s="3" t="s">
        <v>3558</v>
      </c>
      <c r="J1363" s="3" t="s">
        <v>2117</v>
      </c>
      <c r="K1363" s="3" t="s">
        <v>2110</v>
      </c>
      <c r="L1363" s="3" t="s">
        <v>2111</v>
      </c>
      <c r="M1363" s="3" t="s">
        <v>6279</v>
      </c>
      <c r="N1363" s="3" t="s">
        <v>6280</v>
      </c>
      <c r="O1363" s="3">
        <v>0</v>
      </c>
      <c r="P1363" s="3">
        <v>8</v>
      </c>
      <c r="Q1363" s="3" t="s">
        <v>60</v>
      </c>
      <c r="R1363" s="3" t="s">
        <v>61</v>
      </c>
      <c r="S1363" s="3">
        <v>23</v>
      </c>
      <c r="T1363" s="3">
        <v>0</v>
      </c>
      <c r="U1363" s="3">
        <v>23</v>
      </c>
      <c r="V1363" s="3">
        <v>14</v>
      </c>
      <c r="W1363" s="3">
        <v>2</v>
      </c>
      <c r="X1363" s="3" t="s">
        <v>670</v>
      </c>
      <c r="Y1363" s="3">
        <v>0</v>
      </c>
      <c r="Z1363" s="3">
        <v>2</v>
      </c>
      <c r="AA1363" s="3">
        <v>2</v>
      </c>
      <c r="AB1363" s="3">
        <v>1</v>
      </c>
      <c r="AC1363" s="3">
        <v>8</v>
      </c>
      <c r="AD1363" s="3">
        <v>6</v>
      </c>
      <c r="AE1363" s="3">
        <v>14</v>
      </c>
      <c r="AF1363" s="3" t="s">
        <v>0</v>
      </c>
      <c r="AG1363" s="3" t="s">
        <v>49</v>
      </c>
    </row>
    <row r="1364" spans="1:33" ht="127.5" x14ac:dyDescent="0.2">
      <c r="A1364" s="5" t="str">
        <f>HYPERLINK("http://www.patentics.cn/invokexml.do?sf=ShowPatent&amp;spn=US9381821&amp;sv=2e1c1ebf041def6a9eae1baad68e7a1a","US9381821")</f>
        <v>US9381821</v>
      </c>
      <c r="B1364" s="3" t="s">
        <v>6281</v>
      </c>
      <c r="C1364" s="3" t="s">
        <v>6282</v>
      </c>
      <c r="D1364" s="3" t="s">
        <v>52</v>
      </c>
      <c r="E1364" s="3" t="s">
        <v>52</v>
      </c>
      <c r="F1364" s="3" t="s">
        <v>6283</v>
      </c>
      <c r="G1364" s="3" t="s">
        <v>6284</v>
      </c>
      <c r="H1364" s="3" t="s">
        <v>2828</v>
      </c>
      <c r="I1364" s="3" t="s">
        <v>6285</v>
      </c>
      <c r="J1364" s="3" t="s">
        <v>708</v>
      </c>
      <c r="K1364" s="3" t="s">
        <v>6286</v>
      </c>
      <c r="L1364" s="3" t="s">
        <v>6287</v>
      </c>
      <c r="M1364" s="3" t="s">
        <v>6286</v>
      </c>
      <c r="N1364" s="3" t="s">
        <v>6288</v>
      </c>
      <c r="O1364" s="3">
        <v>0</v>
      </c>
      <c r="P1364" s="3">
        <v>9</v>
      </c>
      <c r="Q1364" s="3" t="s">
        <v>60</v>
      </c>
      <c r="R1364" s="3" t="s">
        <v>61</v>
      </c>
      <c r="S1364" s="3">
        <v>10</v>
      </c>
      <c r="T1364" s="3">
        <v>1</v>
      </c>
      <c r="U1364" s="3">
        <v>9</v>
      </c>
      <c r="V1364" s="3">
        <v>7</v>
      </c>
      <c r="W1364" s="3">
        <v>0</v>
      </c>
      <c r="X1364" s="3" t="s">
        <v>147</v>
      </c>
      <c r="Y1364" s="3">
        <v>0</v>
      </c>
      <c r="Z1364" s="3">
        <v>0</v>
      </c>
      <c r="AA1364" s="3">
        <v>0</v>
      </c>
      <c r="AB1364" s="3">
        <v>0</v>
      </c>
      <c r="AC1364" s="3">
        <v>5</v>
      </c>
      <c r="AD1364" s="3">
        <v>5</v>
      </c>
      <c r="AE1364" s="3">
        <v>14</v>
      </c>
      <c r="AF1364" s="3" t="s">
        <v>0</v>
      </c>
      <c r="AG1364" s="3" t="s">
        <v>49</v>
      </c>
    </row>
    <row r="1365" spans="1:33" ht="38.25" x14ac:dyDescent="0.2">
      <c r="A1365" s="4" t="str">
        <f>HYPERLINK("http://www.patentics.cn/invokexml.do?sf=ShowPatent&amp;spn=US20120218969&amp;sv=00b33c25da3ab4d8227dc2c341f4b1ae","US20120218969")</f>
        <v>US20120218969</v>
      </c>
      <c r="B1365" s="2" t="s">
        <v>6289</v>
      </c>
      <c r="C1365" s="2" t="s">
        <v>6290</v>
      </c>
      <c r="D1365" s="2" t="s">
        <v>346</v>
      </c>
      <c r="E1365" s="2" t="s">
        <v>346</v>
      </c>
      <c r="F1365" s="2" t="s">
        <v>6291</v>
      </c>
      <c r="G1365" s="2" t="s">
        <v>6291</v>
      </c>
      <c r="H1365" s="2" t="s">
        <v>5725</v>
      </c>
      <c r="I1365" s="2" t="s">
        <v>6292</v>
      </c>
      <c r="J1365" s="2" t="s">
        <v>2762</v>
      </c>
      <c r="K1365" s="2" t="s">
        <v>82</v>
      </c>
      <c r="L1365" s="2" t="s">
        <v>244</v>
      </c>
      <c r="M1365" s="2" t="s">
        <v>0</v>
      </c>
      <c r="N1365" s="2" t="s">
        <v>0</v>
      </c>
      <c r="O1365" s="2">
        <v>15</v>
      </c>
      <c r="P1365" s="2">
        <v>15</v>
      </c>
      <c r="Q1365" s="2" t="s">
        <v>352</v>
      </c>
      <c r="R1365" s="2" t="s">
        <v>47</v>
      </c>
      <c r="S1365" s="2">
        <v>0</v>
      </c>
      <c r="T1365" s="2">
        <v>0</v>
      </c>
      <c r="U1365" s="2">
        <v>0</v>
      </c>
      <c r="V1365" s="2">
        <v>0</v>
      </c>
      <c r="W1365" s="2">
        <v>3</v>
      </c>
      <c r="X1365" s="2" t="s">
        <v>6293</v>
      </c>
      <c r="Y1365" s="2">
        <v>0</v>
      </c>
      <c r="Z1365" s="2">
        <v>3</v>
      </c>
      <c r="AA1365" s="2">
        <v>2</v>
      </c>
      <c r="AB1365" s="2">
        <v>2</v>
      </c>
      <c r="AC1365" s="2">
        <v>7</v>
      </c>
      <c r="AD1365" s="2">
        <v>5</v>
      </c>
      <c r="AE1365" s="2" t="s">
        <v>0</v>
      </c>
      <c r="AF1365" s="2">
        <v>2</v>
      </c>
      <c r="AG1365" s="2" t="s">
        <v>49</v>
      </c>
    </row>
    <row r="1366" spans="1:33" ht="89.25" x14ac:dyDescent="0.2">
      <c r="A1366" s="5" t="str">
        <f>HYPERLINK("http://www.patentics.cn/invokexml.do?sf=ShowPatent&amp;spn=US9521664&amp;sv=8fec465c77a34839ddc1c4541e995e3b","US9521664")</f>
        <v>US9521664</v>
      </c>
      <c r="B1366" s="3" t="s">
        <v>6294</v>
      </c>
      <c r="C1366" s="3" t="s">
        <v>6295</v>
      </c>
      <c r="D1366" s="3" t="s">
        <v>52</v>
      </c>
      <c r="E1366" s="3" t="s">
        <v>52</v>
      </c>
      <c r="F1366" s="3" t="s">
        <v>6296</v>
      </c>
      <c r="G1366" s="3" t="s">
        <v>1091</v>
      </c>
      <c r="H1366" s="3" t="s">
        <v>3239</v>
      </c>
      <c r="I1366" s="3" t="s">
        <v>3359</v>
      </c>
      <c r="J1366" s="3" t="s">
        <v>332</v>
      </c>
      <c r="K1366" s="3" t="s">
        <v>82</v>
      </c>
      <c r="L1366" s="3" t="s">
        <v>244</v>
      </c>
      <c r="M1366" s="3" t="s">
        <v>82</v>
      </c>
      <c r="N1366" s="3" t="s">
        <v>1185</v>
      </c>
      <c r="O1366" s="3">
        <v>0</v>
      </c>
      <c r="P1366" s="3">
        <v>10</v>
      </c>
      <c r="Q1366" s="3" t="s">
        <v>60</v>
      </c>
      <c r="R1366" s="3" t="s">
        <v>61</v>
      </c>
      <c r="S1366" s="3">
        <v>21</v>
      </c>
      <c r="T1366" s="3">
        <v>3</v>
      </c>
      <c r="U1366" s="3">
        <v>18</v>
      </c>
      <c r="V1366" s="3">
        <v>12</v>
      </c>
      <c r="W1366" s="3">
        <v>1</v>
      </c>
      <c r="X1366" s="3" t="s">
        <v>147</v>
      </c>
      <c r="Y1366" s="3">
        <v>0</v>
      </c>
      <c r="Z1366" s="3">
        <v>1</v>
      </c>
      <c r="AA1366" s="3">
        <v>1</v>
      </c>
      <c r="AB1366" s="3">
        <v>1</v>
      </c>
      <c r="AC1366" s="3">
        <v>10</v>
      </c>
      <c r="AD1366" s="3">
        <v>7</v>
      </c>
      <c r="AE1366" s="3">
        <v>14</v>
      </c>
      <c r="AF1366" s="3" t="s">
        <v>0</v>
      </c>
      <c r="AG1366" s="3" t="s">
        <v>49</v>
      </c>
    </row>
    <row r="1367" spans="1:33" ht="76.5" x14ac:dyDescent="0.2">
      <c r="A1367" s="5" t="str">
        <f>HYPERLINK("http://www.patentics.cn/invokexml.do?sf=ShowPatent&amp;spn=WO2014070311&amp;sv=093e3d2f7fea9cd0fccc7ae9f9243c8a","WO2014070311")</f>
        <v>WO2014070311</v>
      </c>
      <c r="B1367" s="3" t="s">
        <v>6297</v>
      </c>
      <c r="C1367" s="3" t="s">
        <v>6298</v>
      </c>
      <c r="D1367" s="3" t="s">
        <v>52</v>
      </c>
      <c r="E1367" s="3" t="s">
        <v>52</v>
      </c>
      <c r="F1367" s="3" t="s">
        <v>6299</v>
      </c>
      <c r="G1367" s="3" t="s">
        <v>4607</v>
      </c>
      <c r="H1367" s="3" t="s">
        <v>3239</v>
      </c>
      <c r="I1367" s="3" t="s">
        <v>1337</v>
      </c>
      <c r="J1367" s="3" t="s">
        <v>6300</v>
      </c>
      <c r="K1367" s="3" t="s">
        <v>58</v>
      </c>
      <c r="L1367" s="3" t="s">
        <v>188</v>
      </c>
      <c r="M1367" s="3" t="s">
        <v>0</v>
      </c>
      <c r="N1367" s="3" t="s">
        <v>0</v>
      </c>
      <c r="O1367" s="3">
        <v>64</v>
      </c>
      <c r="P1367" s="3">
        <v>8</v>
      </c>
      <c r="Q1367" s="3" t="s">
        <v>352</v>
      </c>
      <c r="R1367" s="3" t="s">
        <v>61</v>
      </c>
      <c r="S1367" s="3">
        <v>2</v>
      </c>
      <c r="T1367" s="3">
        <v>0</v>
      </c>
      <c r="U1367" s="3">
        <v>2</v>
      </c>
      <c r="V1367" s="3">
        <v>2</v>
      </c>
      <c r="W1367" s="3">
        <v>9</v>
      </c>
      <c r="X1367" s="3" t="s">
        <v>6301</v>
      </c>
      <c r="Y1367" s="3">
        <v>0</v>
      </c>
      <c r="Z1367" s="3">
        <v>9</v>
      </c>
      <c r="AA1367" s="3">
        <v>1</v>
      </c>
      <c r="AB1367" s="3">
        <v>2</v>
      </c>
      <c r="AC1367" s="3">
        <v>10</v>
      </c>
      <c r="AD1367" s="3">
        <v>7</v>
      </c>
      <c r="AE1367" s="3">
        <v>14</v>
      </c>
      <c r="AF1367" s="3" t="s">
        <v>0</v>
      </c>
      <c r="AG1367" s="3" t="s">
        <v>0</v>
      </c>
    </row>
    <row r="1368" spans="1:33" ht="76.5" x14ac:dyDescent="0.2">
      <c r="A1368" s="4" t="str">
        <f>HYPERLINK("http://www.patentics.cn/invokexml.do?sf=ShowPatent&amp;spn=US20120207297&amp;sv=2197bbee4a83c87dfee45200b76f402c","US20120207297")</f>
        <v>US20120207297</v>
      </c>
      <c r="B1368" s="2" t="s">
        <v>6302</v>
      </c>
      <c r="C1368" s="2" t="s">
        <v>6303</v>
      </c>
      <c r="D1368" s="2" t="s">
        <v>346</v>
      </c>
      <c r="E1368" s="2" t="s">
        <v>346</v>
      </c>
      <c r="F1368" s="2" t="s">
        <v>6304</v>
      </c>
      <c r="G1368" s="2" t="s">
        <v>6305</v>
      </c>
      <c r="H1368" s="2" t="s">
        <v>6306</v>
      </c>
      <c r="I1368" s="2" t="s">
        <v>891</v>
      </c>
      <c r="J1368" s="2" t="s">
        <v>3553</v>
      </c>
      <c r="K1368" s="2" t="s">
        <v>270</v>
      </c>
      <c r="L1368" s="2" t="s">
        <v>5625</v>
      </c>
      <c r="M1368" s="2" t="s">
        <v>0</v>
      </c>
      <c r="N1368" s="2" t="s">
        <v>0</v>
      </c>
      <c r="O1368" s="2">
        <v>14</v>
      </c>
      <c r="P1368" s="2">
        <v>14</v>
      </c>
      <c r="Q1368" s="2" t="s">
        <v>352</v>
      </c>
      <c r="R1368" s="2" t="s">
        <v>47</v>
      </c>
      <c r="S1368" s="2">
        <v>0</v>
      </c>
      <c r="T1368" s="2">
        <v>0</v>
      </c>
      <c r="U1368" s="2">
        <v>0</v>
      </c>
      <c r="V1368" s="2">
        <v>0</v>
      </c>
      <c r="W1368" s="2">
        <v>2</v>
      </c>
      <c r="X1368" s="2" t="s">
        <v>523</v>
      </c>
      <c r="Y1368" s="2">
        <v>0</v>
      </c>
      <c r="Z1368" s="2">
        <v>2</v>
      </c>
      <c r="AA1368" s="2">
        <v>1</v>
      </c>
      <c r="AB1368" s="2">
        <v>1</v>
      </c>
      <c r="AC1368" s="2">
        <v>6</v>
      </c>
      <c r="AD1368" s="2">
        <v>4</v>
      </c>
      <c r="AE1368" s="2" t="s">
        <v>0</v>
      </c>
      <c r="AF1368" s="2">
        <v>2</v>
      </c>
      <c r="AG1368" s="2" t="s">
        <v>49</v>
      </c>
    </row>
    <row r="1369" spans="1:33" ht="76.5" x14ac:dyDescent="0.2">
      <c r="A1369" s="5" t="str">
        <f>HYPERLINK("http://www.patentics.cn/invokexml.do?sf=ShowPatent&amp;spn=US9042550&amp;sv=11ff6d4df8fdae1403996c3f85f44f4a","US9042550")</f>
        <v>US9042550</v>
      </c>
      <c r="B1369" s="3" t="s">
        <v>6307</v>
      </c>
      <c r="C1369" s="3" t="s">
        <v>6308</v>
      </c>
      <c r="D1369" s="3" t="s">
        <v>52</v>
      </c>
      <c r="E1369" s="3" t="s">
        <v>52</v>
      </c>
      <c r="F1369" s="3" t="s">
        <v>6309</v>
      </c>
      <c r="G1369" s="3" t="s">
        <v>6310</v>
      </c>
      <c r="H1369" s="3" t="s">
        <v>5122</v>
      </c>
      <c r="I1369" s="3" t="s">
        <v>5122</v>
      </c>
      <c r="J1369" s="3" t="s">
        <v>1147</v>
      </c>
      <c r="K1369" s="3" t="s">
        <v>333</v>
      </c>
      <c r="L1369" s="3" t="s">
        <v>2856</v>
      </c>
      <c r="M1369" s="3" t="s">
        <v>0</v>
      </c>
      <c r="N1369" s="3" t="s">
        <v>0</v>
      </c>
      <c r="O1369" s="3">
        <v>0</v>
      </c>
      <c r="P1369" s="3">
        <v>16</v>
      </c>
      <c r="Q1369" s="3" t="s">
        <v>60</v>
      </c>
      <c r="R1369" s="3" t="s">
        <v>61</v>
      </c>
      <c r="S1369" s="3">
        <v>19</v>
      </c>
      <c r="T1369" s="3">
        <v>10</v>
      </c>
      <c r="U1369" s="3">
        <v>9</v>
      </c>
      <c r="V1369" s="3">
        <v>7</v>
      </c>
      <c r="W1369" s="3">
        <v>1</v>
      </c>
      <c r="X1369" s="3" t="s">
        <v>1186</v>
      </c>
      <c r="Y1369" s="3">
        <v>1</v>
      </c>
      <c r="Z1369" s="3">
        <v>0</v>
      </c>
      <c r="AA1369" s="3">
        <v>1</v>
      </c>
      <c r="AB1369" s="3">
        <v>1</v>
      </c>
      <c r="AC1369" s="3">
        <v>4</v>
      </c>
      <c r="AD1369" s="3">
        <v>4</v>
      </c>
      <c r="AE1369" s="3">
        <v>14</v>
      </c>
      <c r="AF1369" s="3" t="s">
        <v>0</v>
      </c>
      <c r="AG1369" s="3" t="s">
        <v>49</v>
      </c>
    </row>
    <row r="1370" spans="1:33" ht="127.5" x14ac:dyDescent="0.2">
      <c r="A1370" s="5" t="str">
        <f>HYPERLINK("http://www.patentics.cn/invokexml.do?sf=ShowPatent&amp;spn=US9258692&amp;sv=259831766ce04e98217a8bc509d2f799","US9258692")</f>
        <v>US9258692</v>
      </c>
      <c r="B1370" s="3" t="s">
        <v>6311</v>
      </c>
      <c r="C1370" s="3" t="s">
        <v>6312</v>
      </c>
      <c r="D1370" s="3" t="s">
        <v>52</v>
      </c>
      <c r="E1370" s="3" t="s">
        <v>52</v>
      </c>
      <c r="F1370" s="3" t="s">
        <v>6313</v>
      </c>
      <c r="G1370" s="3" t="s">
        <v>6314</v>
      </c>
      <c r="H1370" s="3" t="s">
        <v>6315</v>
      </c>
      <c r="I1370" s="3" t="s">
        <v>6315</v>
      </c>
      <c r="J1370" s="3" t="s">
        <v>4769</v>
      </c>
      <c r="K1370" s="3" t="s">
        <v>82</v>
      </c>
      <c r="L1370" s="3" t="s">
        <v>83</v>
      </c>
      <c r="M1370" s="3" t="s">
        <v>82</v>
      </c>
      <c r="N1370" s="3" t="s">
        <v>6316</v>
      </c>
      <c r="O1370" s="3">
        <v>0</v>
      </c>
      <c r="P1370" s="3">
        <v>10</v>
      </c>
      <c r="Q1370" s="3" t="s">
        <v>60</v>
      </c>
      <c r="R1370" s="3" t="s">
        <v>61</v>
      </c>
      <c r="S1370" s="3">
        <v>19</v>
      </c>
      <c r="T1370" s="3">
        <v>10</v>
      </c>
      <c r="U1370" s="3">
        <v>9</v>
      </c>
      <c r="V1370" s="3">
        <v>7</v>
      </c>
      <c r="W1370" s="3">
        <v>0</v>
      </c>
      <c r="X1370" s="3" t="s">
        <v>147</v>
      </c>
      <c r="Y1370" s="3">
        <v>0</v>
      </c>
      <c r="Z1370" s="3">
        <v>0</v>
      </c>
      <c r="AA1370" s="3">
        <v>0</v>
      </c>
      <c r="AB1370" s="3">
        <v>0</v>
      </c>
      <c r="AC1370" s="3">
        <v>2</v>
      </c>
      <c r="AD1370" s="3">
        <v>2</v>
      </c>
      <c r="AE1370" s="3">
        <v>14</v>
      </c>
      <c r="AF1370" s="3" t="s">
        <v>0</v>
      </c>
      <c r="AG1370" s="3" t="s">
        <v>49</v>
      </c>
    </row>
    <row r="1371" spans="1:33" ht="63.75" x14ac:dyDescent="0.2">
      <c r="A1371" s="4" t="str">
        <f>HYPERLINK("http://www.patentics.cn/invokexml.do?sf=ShowPatent&amp;spn=US20120207132&amp;sv=17a73090297ef1f8d7563cde81837bbb","US20120207132")</f>
        <v>US20120207132</v>
      </c>
      <c r="B1371" s="2" t="s">
        <v>6317</v>
      </c>
      <c r="C1371" s="2" t="s">
        <v>6318</v>
      </c>
      <c r="D1371" s="2" t="s">
        <v>346</v>
      </c>
      <c r="E1371" s="2" t="s">
        <v>346</v>
      </c>
      <c r="F1371" s="2" t="s">
        <v>6319</v>
      </c>
      <c r="G1371" s="2" t="s">
        <v>6320</v>
      </c>
      <c r="H1371" s="2" t="s">
        <v>6321</v>
      </c>
      <c r="I1371" s="2" t="s">
        <v>6322</v>
      </c>
      <c r="J1371" s="2" t="s">
        <v>3553</v>
      </c>
      <c r="K1371" s="2" t="s">
        <v>82</v>
      </c>
      <c r="L1371" s="2" t="s">
        <v>2425</v>
      </c>
      <c r="M1371" s="2" t="s">
        <v>0</v>
      </c>
      <c r="N1371" s="2" t="s">
        <v>0</v>
      </c>
      <c r="O1371" s="2">
        <v>17</v>
      </c>
      <c r="P1371" s="2">
        <v>6</v>
      </c>
      <c r="Q1371" s="2" t="s">
        <v>352</v>
      </c>
      <c r="R1371" s="2" t="s">
        <v>47</v>
      </c>
      <c r="S1371" s="2">
        <v>0</v>
      </c>
      <c r="T1371" s="2">
        <v>0</v>
      </c>
      <c r="U1371" s="2">
        <v>0</v>
      </c>
      <c r="V1371" s="2">
        <v>0</v>
      </c>
      <c r="W1371" s="2">
        <v>3</v>
      </c>
      <c r="X1371" s="2" t="s">
        <v>1232</v>
      </c>
      <c r="Y1371" s="2">
        <v>0</v>
      </c>
      <c r="Z1371" s="2">
        <v>3</v>
      </c>
      <c r="AA1371" s="2">
        <v>2</v>
      </c>
      <c r="AB1371" s="2">
        <v>1</v>
      </c>
      <c r="AC1371" s="2">
        <v>4</v>
      </c>
      <c r="AD1371" s="2">
        <v>4</v>
      </c>
      <c r="AE1371" s="2" t="s">
        <v>0</v>
      </c>
      <c r="AF1371" s="2">
        <v>2</v>
      </c>
      <c r="AG1371" s="2" t="s">
        <v>49</v>
      </c>
    </row>
    <row r="1372" spans="1:33" ht="102" x14ac:dyDescent="0.2">
      <c r="A1372" s="5" t="str">
        <f>HYPERLINK("http://www.patentics.cn/invokexml.do?sf=ShowPatent&amp;spn=US8520594&amp;sv=7c78ae79812726c74fca0b8ca154e422","US8520594")</f>
        <v>US8520594</v>
      </c>
      <c r="B1372" s="3" t="s">
        <v>6323</v>
      </c>
      <c r="C1372" s="3" t="s">
        <v>6324</v>
      </c>
      <c r="D1372" s="3" t="s">
        <v>52</v>
      </c>
      <c r="E1372" s="3" t="s">
        <v>52</v>
      </c>
      <c r="F1372" s="3" t="s">
        <v>6325</v>
      </c>
      <c r="G1372" s="3" t="s">
        <v>2239</v>
      </c>
      <c r="H1372" s="3" t="s">
        <v>5465</v>
      </c>
      <c r="I1372" s="3" t="s">
        <v>3728</v>
      </c>
      <c r="J1372" s="3" t="s">
        <v>6326</v>
      </c>
      <c r="K1372" s="3" t="s">
        <v>82</v>
      </c>
      <c r="L1372" s="3" t="s">
        <v>83</v>
      </c>
      <c r="M1372" s="3" t="s">
        <v>82</v>
      </c>
      <c r="N1372" s="3" t="s">
        <v>6327</v>
      </c>
      <c r="O1372" s="3">
        <v>0</v>
      </c>
      <c r="P1372" s="3">
        <v>11</v>
      </c>
      <c r="Q1372" s="3" t="s">
        <v>60</v>
      </c>
      <c r="R1372" s="3" t="s">
        <v>61</v>
      </c>
      <c r="S1372" s="3">
        <v>44</v>
      </c>
      <c r="T1372" s="3">
        <v>5</v>
      </c>
      <c r="U1372" s="3">
        <v>39</v>
      </c>
      <c r="V1372" s="3">
        <v>15</v>
      </c>
      <c r="W1372" s="3">
        <v>8</v>
      </c>
      <c r="X1372" s="3" t="s">
        <v>1351</v>
      </c>
      <c r="Y1372" s="3">
        <v>1</v>
      </c>
      <c r="Z1372" s="3">
        <v>7</v>
      </c>
      <c r="AA1372" s="3">
        <v>2</v>
      </c>
      <c r="AB1372" s="3">
        <v>2</v>
      </c>
      <c r="AC1372" s="3">
        <v>20</v>
      </c>
      <c r="AD1372" s="3">
        <v>7</v>
      </c>
      <c r="AE1372" s="3">
        <v>14</v>
      </c>
      <c r="AF1372" s="3" t="s">
        <v>0</v>
      </c>
      <c r="AG1372" s="3" t="s">
        <v>49</v>
      </c>
    </row>
    <row r="1373" spans="1:33" ht="76.5" x14ac:dyDescent="0.2">
      <c r="A1373" s="5" t="str">
        <f>HYPERLINK("http://www.patentics.cn/invokexml.do?sf=ShowPatent&amp;spn=US8731551&amp;sv=4e270e5593d6a50fe0385a2b9a854120","US8731551")</f>
        <v>US8731551</v>
      </c>
      <c r="B1373" s="3" t="s">
        <v>5462</v>
      </c>
      <c r="C1373" s="3" t="s">
        <v>5463</v>
      </c>
      <c r="D1373" s="3" t="s">
        <v>52</v>
      </c>
      <c r="E1373" s="3" t="s">
        <v>52</v>
      </c>
      <c r="F1373" s="3" t="s">
        <v>5464</v>
      </c>
      <c r="G1373" s="3" t="s">
        <v>3015</v>
      </c>
      <c r="H1373" s="3" t="s">
        <v>5465</v>
      </c>
      <c r="I1373" s="3" t="s">
        <v>3728</v>
      </c>
      <c r="J1373" s="3" t="s">
        <v>4687</v>
      </c>
      <c r="K1373" s="3" t="s">
        <v>82</v>
      </c>
      <c r="L1373" s="3" t="s">
        <v>83</v>
      </c>
      <c r="M1373" s="3" t="s">
        <v>58</v>
      </c>
      <c r="N1373" s="3" t="s">
        <v>5466</v>
      </c>
      <c r="O1373" s="3">
        <v>0</v>
      </c>
      <c r="P1373" s="3">
        <v>14</v>
      </c>
      <c r="Q1373" s="3" t="s">
        <v>60</v>
      </c>
      <c r="R1373" s="3" t="s">
        <v>61</v>
      </c>
      <c r="S1373" s="3">
        <v>54</v>
      </c>
      <c r="T1373" s="3">
        <v>7</v>
      </c>
      <c r="U1373" s="3">
        <v>47</v>
      </c>
      <c r="V1373" s="3">
        <v>16</v>
      </c>
      <c r="W1373" s="3">
        <v>8</v>
      </c>
      <c r="X1373" s="3" t="s">
        <v>378</v>
      </c>
      <c r="Y1373" s="3">
        <v>1</v>
      </c>
      <c r="Z1373" s="3">
        <v>7</v>
      </c>
      <c r="AA1373" s="3">
        <v>2</v>
      </c>
      <c r="AB1373" s="3">
        <v>2</v>
      </c>
      <c r="AC1373" s="3">
        <v>20</v>
      </c>
      <c r="AD1373" s="3">
        <v>7</v>
      </c>
      <c r="AE1373" s="3">
        <v>14</v>
      </c>
      <c r="AF1373" s="3" t="s">
        <v>0</v>
      </c>
      <c r="AG1373" s="3" t="s">
        <v>49</v>
      </c>
    </row>
    <row r="1374" spans="1:33" ht="51" x14ac:dyDescent="0.2">
      <c r="A1374" s="4" t="str">
        <f>HYPERLINK("http://www.patentics.cn/invokexml.do?sf=ShowPatent&amp;spn=US20120188955&amp;sv=433ce33814287f7c6ae205eaec424eaf","US20120188955")</f>
        <v>US20120188955</v>
      </c>
      <c r="B1374" s="2" t="s">
        <v>6328</v>
      </c>
      <c r="C1374" s="2" t="s">
        <v>6329</v>
      </c>
      <c r="D1374" s="2" t="s">
        <v>346</v>
      </c>
      <c r="E1374" s="2" t="s">
        <v>346</v>
      </c>
      <c r="F1374" s="2" t="s">
        <v>6330</v>
      </c>
      <c r="G1374" s="2" t="s">
        <v>6330</v>
      </c>
      <c r="H1374" s="2" t="s">
        <v>6331</v>
      </c>
      <c r="I1374" s="2" t="s">
        <v>5931</v>
      </c>
      <c r="J1374" s="2" t="s">
        <v>5110</v>
      </c>
      <c r="K1374" s="2" t="s">
        <v>82</v>
      </c>
      <c r="L1374" s="2" t="s">
        <v>244</v>
      </c>
      <c r="M1374" s="2" t="s">
        <v>0</v>
      </c>
      <c r="N1374" s="2" t="s">
        <v>0</v>
      </c>
      <c r="O1374" s="2">
        <v>25</v>
      </c>
      <c r="P1374" s="2">
        <v>25</v>
      </c>
      <c r="Q1374" s="2" t="s">
        <v>352</v>
      </c>
      <c r="R1374" s="2" t="s">
        <v>61</v>
      </c>
      <c r="S1374" s="2">
        <v>0</v>
      </c>
      <c r="T1374" s="2">
        <v>0</v>
      </c>
      <c r="U1374" s="2">
        <v>0</v>
      </c>
      <c r="V1374" s="2">
        <v>0</v>
      </c>
      <c r="W1374" s="2">
        <v>12</v>
      </c>
      <c r="X1374" s="2" t="s">
        <v>1825</v>
      </c>
      <c r="Y1374" s="2">
        <v>0</v>
      </c>
      <c r="Z1374" s="2">
        <v>12</v>
      </c>
      <c r="AA1374" s="2">
        <v>5</v>
      </c>
      <c r="AB1374" s="2">
        <v>2</v>
      </c>
      <c r="AC1374" s="2">
        <v>2</v>
      </c>
      <c r="AD1374" s="2">
        <v>3</v>
      </c>
      <c r="AE1374" s="2" t="s">
        <v>0</v>
      </c>
      <c r="AF1374" s="2">
        <v>2</v>
      </c>
      <c r="AG1374" s="2" t="s">
        <v>2231</v>
      </c>
    </row>
    <row r="1375" spans="1:33" ht="76.5" x14ac:dyDescent="0.2">
      <c r="A1375" s="5" t="str">
        <f>HYPERLINK("http://www.patentics.cn/invokexml.do?sf=ShowPatent&amp;spn=US9198071&amp;sv=72c0d57b789c01179fffcdb10c798bc8","US9198071")</f>
        <v>US9198071</v>
      </c>
      <c r="B1375" s="3" t="s">
        <v>6332</v>
      </c>
      <c r="C1375" s="3" t="s">
        <v>6333</v>
      </c>
      <c r="D1375" s="3" t="s">
        <v>52</v>
      </c>
      <c r="E1375" s="3" t="s">
        <v>52</v>
      </c>
      <c r="F1375" s="3" t="s">
        <v>6334</v>
      </c>
      <c r="G1375" s="3" t="s">
        <v>2822</v>
      </c>
      <c r="H1375" s="3" t="s">
        <v>3596</v>
      </c>
      <c r="I1375" s="3" t="s">
        <v>4192</v>
      </c>
      <c r="J1375" s="3" t="s">
        <v>1856</v>
      </c>
      <c r="K1375" s="3" t="s">
        <v>82</v>
      </c>
      <c r="L1375" s="3" t="s">
        <v>2215</v>
      </c>
      <c r="M1375" s="3" t="s">
        <v>82</v>
      </c>
      <c r="N1375" s="3" t="s">
        <v>799</v>
      </c>
      <c r="O1375" s="3">
        <v>0</v>
      </c>
      <c r="P1375" s="3">
        <v>18</v>
      </c>
      <c r="Q1375" s="3" t="s">
        <v>60</v>
      </c>
      <c r="R1375" s="3" t="s">
        <v>61</v>
      </c>
      <c r="S1375" s="3">
        <v>20</v>
      </c>
      <c r="T1375" s="3">
        <v>3</v>
      </c>
      <c r="U1375" s="3">
        <v>17</v>
      </c>
      <c r="V1375" s="3">
        <v>11</v>
      </c>
      <c r="W1375" s="3">
        <v>0</v>
      </c>
      <c r="X1375" s="3" t="s">
        <v>147</v>
      </c>
      <c r="Y1375" s="3">
        <v>0</v>
      </c>
      <c r="Z1375" s="3">
        <v>0</v>
      </c>
      <c r="AA1375" s="3">
        <v>0</v>
      </c>
      <c r="AB1375" s="3">
        <v>0</v>
      </c>
      <c r="AC1375" s="3">
        <v>5</v>
      </c>
      <c r="AD1375" s="3">
        <v>5</v>
      </c>
      <c r="AE1375" s="3">
        <v>14</v>
      </c>
      <c r="AF1375" s="3" t="s">
        <v>0</v>
      </c>
      <c r="AG1375" s="3" t="s">
        <v>49</v>
      </c>
    </row>
    <row r="1376" spans="1:33" ht="63.75" x14ac:dyDescent="0.2">
      <c r="A1376" s="5" t="str">
        <f>HYPERLINK("http://www.patentics.cn/invokexml.do?sf=ShowPatent&amp;spn=US9609537&amp;sv=6c396d65d187bafcff5de68bba3216fe","US9609537")</f>
        <v>US9609537</v>
      </c>
      <c r="B1376" s="3" t="s">
        <v>6335</v>
      </c>
      <c r="C1376" s="3" t="s">
        <v>6336</v>
      </c>
      <c r="D1376" s="3" t="s">
        <v>52</v>
      </c>
      <c r="E1376" s="3" t="s">
        <v>52</v>
      </c>
      <c r="F1376" s="3" t="s">
        <v>6337</v>
      </c>
      <c r="G1376" s="3" t="s">
        <v>2822</v>
      </c>
      <c r="H1376" s="3" t="s">
        <v>0</v>
      </c>
      <c r="I1376" s="3" t="s">
        <v>4480</v>
      </c>
      <c r="J1376" s="3" t="s">
        <v>3892</v>
      </c>
      <c r="K1376" s="3" t="s">
        <v>555</v>
      </c>
      <c r="L1376" s="3" t="s">
        <v>6338</v>
      </c>
      <c r="M1376" s="3" t="s">
        <v>82</v>
      </c>
      <c r="N1376" s="3" t="s">
        <v>799</v>
      </c>
      <c r="O1376" s="3">
        <v>0</v>
      </c>
      <c r="P1376" s="3">
        <v>14</v>
      </c>
      <c r="Q1376" s="3" t="s">
        <v>60</v>
      </c>
      <c r="R1376" s="3" t="s">
        <v>61</v>
      </c>
      <c r="S1376" s="3">
        <v>7</v>
      </c>
      <c r="T1376" s="3">
        <v>1</v>
      </c>
      <c r="U1376" s="3">
        <v>6</v>
      </c>
      <c r="V1376" s="3">
        <v>5</v>
      </c>
      <c r="W1376" s="3">
        <v>0</v>
      </c>
      <c r="X1376" s="3" t="s">
        <v>147</v>
      </c>
      <c r="Y1376" s="3">
        <v>0</v>
      </c>
      <c r="Z1376" s="3">
        <v>0</v>
      </c>
      <c r="AA1376" s="3">
        <v>0</v>
      </c>
      <c r="AB1376" s="3">
        <v>0</v>
      </c>
      <c r="AC1376" s="3">
        <v>0</v>
      </c>
      <c r="AD1376" s="3">
        <v>0</v>
      </c>
      <c r="AE1376" s="3">
        <v>14</v>
      </c>
      <c r="AF1376" s="3" t="s">
        <v>0</v>
      </c>
      <c r="AG1376" s="3" t="s">
        <v>49</v>
      </c>
    </row>
    <row r="1377" spans="1:33" ht="38.25" x14ac:dyDescent="0.2">
      <c r="A1377" s="4" t="str">
        <f>HYPERLINK("http://www.patentics.cn/invokexml.do?sf=ShowPatent&amp;spn=US20120155416&amp;sv=fc4300080c2188c888f3409d0bb4d9da","US20120155416")</f>
        <v>US20120155416</v>
      </c>
      <c r="B1377" s="2" t="s">
        <v>6339</v>
      </c>
      <c r="C1377" s="2" t="s">
        <v>6340</v>
      </c>
      <c r="D1377" s="2" t="s">
        <v>346</v>
      </c>
      <c r="E1377" s="2" t="s">
        <v>346</v>
      </c>
      <c r="F1377" s="2" t="s">
        <v>6341</v>
      </c>
      <c r="G1377" s="2" t="s">
        <v>6342</v>
      </c>
      <c r="H1377" s="2" t="s">
        <v>6343</v>
      </c>
      <c r="I1377" s="2" t="s">
        <v>6344</v>
      </c>
      <c r="J1377" s="2" t="s">
        <v>6345</v>
      </c>
      <c r="K1377" s="2" t="s">
        <v>82</v>
      </c>
      <c r="L1377" s="2" t="s">
        <v>244</v>
      </c>
      <c r="M1377" s="2" t="s">
        <v>0</v>
      </c>
      <c r="N1377" s="2" t="s">
        <v>0</v>
      </c>
      <c r="O1377" s="2">
        <v>17</v>
      </c>
      <c r="P1377" s="2">
        <v>14</v>
      </c>
      <c r="Q1377" s="2" t="s">
        <v>352</v>
      </c>
      <c r="R1377" s="2" t="s">
        <v>47</v>
      </c>
      <c r="S1377" s="2">
        <v>0</v>
      </c>
      <c r="T1377" s="2">
        <v>0</v>
      </c>
      <c r="U1377" s="2">
        <v>0</v>
      </c>
      <c r="V1377" s="2">
        <v>0</v>
      </c>
      <c r="W1377" s="2">
        <v>5</v>
      </c>
      <c r="X1377" s="2" t="s">
        <v>6346</v>
      </c>
      <c r="Y1377" s="2">
        <v>0</v>
      </c>
      <c r="Z1377" s="2">
        <v>5</v>
      </c>
      <c r="AA1377" s="2">
        <v>4</v>
      </c>
      <c r="AB1377" s="2">
        <v>2</v>
      </c>
      <c r="AC1377" s="2">
        <v>6</v>
      </c>
      <c r="AD1377" s="2">
        <v>5</v>
      </c>
      <c r="AE1377" s="2" t="s">
        <v>0</v>
      </c>
      <c r="AF1377" s="2">
        <v>2</v>
      </c>
      <c r="AG1377" s="2" t="s">
        <v>2231</v>
      </c>
    </row>
    <row r="1378" spans="1:33" ht="76.5" x14ac:dyDescent="0.2">
      <c r="A1378" s="5" t="str">
        <f>HYPERLINK("http://www.patentics.cn/invokexml.do?sf=ShowPatent&amp;spn=US9084142&amp;sv=066eba3f7a302d8b97041258cbef5528","US9084142")</f>
        <v>US9084142</v>
      </c>
      <c r="B1378" s="3" t="s">
        <v>6347</v>
      </c>
      <c r="C1378" s="3" t="s">
        <v>6348</v>
      </c>
      <c r="D1378" s="3" t="s">
        <v>52</v>
      </c>
      <c r="E1378" s="3" t="s">
        <v>52</v>
      </c>
      <c r="F1378" s="3" t="s">
        <v>6349</v>
      </c>
      <c r="G1378" s="3" t="s">
        <v>6350</v>
      </c>
      <c r="H1378" s="3" t="s">
        <v>3212</v>
      </c>
      <c r="I1378" s="3" t="s">
        <v>3213</v>
      </c>
      <c r="J1378" s="3" t="s">
        <v>2926</v>
      </c>
      <c r="K1378" s="3" t="s">
        <v>82</v>
      </c>
      <c r="L1378" s="3" t="s">
        <v>1177</v>
      </c>
      <c r="M1378" s="3" t="s">
        <v>0</v>
      </c>
      <c r="N1378" s="3" t="s">
        <v>0</v>
      </c>
      <c r="O1378" s="3">
        <v>0</v>
      </c>
      <c r="P1378" s="3">
        <v>20</v>
      </c>
      <c r="Q1378" s="3" t="s">
        <v>60</v>
      </c>
      <c r="R1378" s="3" t="s">
        <v>61</v>
      </c>
      <c r="S1378" s="3">
        <v>21</v>
      </c>
      <c r="T1378" s="3">
        <v>2</v>
      </c>
      <c r="U1378" s="3">
        <v>19</v>
      </c>
      <c r="V1378" s="3">
        <v>11</v>
      </c>
      <c r="W1378" s="3">
        <v>0</v>
      </c>
      <c r="X1378" s="3" t="s">
        <v>147</v>
      </c>
      <c r="Y1378" s="3">
        <v>0</v>
      </c>
      <c r="Z1378" s="3">
        <v>0</v>
      </c>
      <c r="AA1378" s="3">
        <v>0</v>
      </c>
      <c r="AB1378" s="3">
        <v>0</v>
      </c>
      <c r="AC1378" s="3">
        <v>5</v>
      </c>
      <c r="AD1378" s="3">
        <v>5</v>
      </c>
      <c r="AE1378" s="3">
        <v>14</v>
      </c>
      <c r="AF1378" s="3" t="s">
        <v>0</v>
      </c>
      <c r="AG1378" s="3" t="s">
        <v>49</v>
      </c>
    </row>
    <row r="1379" spans="1:33" ht="102" x14ac:dyDescent="0.2">
      <c r="A1379" s="5" t="str">
        <f>HYPERLINK("http://www.patentics.cn/invokexml.do?sf=ShowPatent&amp;spn=WO2015200799&amp;sv=263bde5a6a5c8c8f2a07b98256618394","WO2015200799")</f>
        <v>WO2015200799</v>
      </c>
      <c r="B1379" s="3" t="s">
        <v>6351</v>
      </c>
      <c r="C1379" s="3" t="s">
        <v>6352</v>
      </c>
      <c r="D1379" s="3" t="s">
        <v>52</v>
      </c>
      <c r="E1379" s="3" t="s">
        <v>52</v>
      </c>
      <c r="F1379" s="3" t="s">
        <v>6353</v>
      </c>
      <c r="G1379" s="3" t="s">
        <v>6354</v>
      </c>
      <c r="H1379" s="3" t="s">
        <v>6355</v>
      </c>
      <c r="I1379" s="3" t="s">
        <v>6356</v>
      </c>
      <c r="J1379" s="3" t="s">
        <v>6357</v>
      </c>
      <c r="K1379" s="3" t="s">
        <v>82</v>
      </c>
      <c r="L1379" s="3" t="s">
        <v>244</v>
      </c>
      <c r="M1379" s="3" t="s">
        <v>0</v>
      </c>
      <c r="N1379" s="3" t="s">
        <v>0</v>
      </c>
      <c r="O1379" s="3">
        <v>24</v>
      </c>
      <c r="P1379" s="3">
        <v>17</v>
      </c>
      <c r="Q1379" s="3" t="s">
        <v>352</v>
      </c>
      <c r="R1379" s="3" t="s">
        <v>61</v>
      </c>
      <c r="S1379" s="3">
        <v>2</v>
      </c>
      <c r="T1379" s="3">
        <v>0</v>
      </c>
      <c r="U1379" s="3">
        <v>2</v>
      </c>
      <c r="V1379" s="3">
        <v>2</v>
      </c>
      <c r="W1379" s="3">
        <v>0</v>
      </c>
      <c r="X1379" s="3" t="s">
        <v>147</v>
      </c>
      <c r="Y1379" s="3">
        <v>0</v>
      </c>
      <c r="Z1379" s="3">
        <v>0</v>
      </c>
      <c r="AA1379" s="3">
        <v>0</v>
      </c>
      <c r="AB1379" s="3">
        <v>0</v>
      </c>
      <c r="AC1379" s="3">
        <v>1</v>
      </c>
      <c r="AD1379" s="3">
        <v>2</v>
      </c>
      <c r="AE1379" s="3">
        <v>14</v>
      </c>
      <c r="AF1379" s="3" t="s">
        <v>0</v>
      </c>
      <c r="AG1379" s="3" t="s">
        <v>0</v>
      </c>
    </row>
    <row r="1380" spans="1:33" ht="51" x14ac:dyDescent="0.2">
      <c r="A1380" s="4" t="str">
        <f>HYPERLINK("http://www.patentics.cn/invokexml.do?sf=ShowPatent&amp;spn=US20120131329&amp;sv=8dbc1a4c5e734a9da21f8c8e4d884de4","US20120131329")</f>
        <v>US20120131329</v>
      </c>
      <c r="B1380" s="2" t="s">
        <v>6358</v>
      </c>
      <c r="C1380" s="2" t="s">
        <v>6359</v>
      </c>
      <c r="D1380" s="2" t="s">
        <v>346</v>
      </c>
      <c r="E1380" s="2" t="s">
        <v>346</v>
      </c>
      <c r="F1380" s="2" t="s">
        <v>6360</v>
      </c>
      <c r="G1380" s="2" t="s">
        <v>6361</v>
      </c>
      <c r="H1380" s="2" t="s">
        <v>6362</v>
      </c>
      <c r="I1380" s="2" t="s">
        <v>2866</v>
      </c>
      <c r="J1380" s="2" t="s">
        <v>3283</v>
      </c>
      <c r="K1380" s="2" t="s">
        <v>58</v>
      </c>
      <c r="L1380" s="2" t="s">
        <v>722</v>
      </c>
      <c r="M1380" s="2" t="s">
        <v>0</v>
      </c>
      <c r="N1380" s="2" t="s">
        <v>0</v>
      </c>
      <c r="O1380" s="2">
        <v>13</v>
      </c>
      <c r="P1380" s="2">
        <v>10</v>
      </c>
      <c r="Q1380" s="2" t="s">
        <v>352</v>
      </c>
      <c r="R1380" s="2" t="s">
        <v>47</v>
      </c>
      <c r="S1380" s="2">
        <v>0</v>
      </c>
      <c r="T1380" s="2">
        <v>0</v>
      </c>
      <c r="U1380" s="2">
        <v>0</v>
      </c>
      <c r="V1380" s="2">
        <v>0</v>
      </c>
      <c r="W1380" s="2">
        <v>6</v>
      </c>
      <c r="X1380" s="2" t="s">
        <v>165</v>
      </c>
      <c r="Y1380" s="2">
        <v>0</v>
      </c>
      <c r="Z1380" s="2">
        <v>6</v>
      </c>
      <c r="AA1380" s="2">
        <v>3</v>
      </c>
      <c r="AB1380" s="2">
        <v>1</v>
      </c>
      <c r="AC1380" s="2">
        <v>5</v>
      </c>
      <c r="AD1380" s="2">
        <v>4</v>
      </c>
      <c r="AE1380" s="2" t="s">
        <v>0</v>
      </c>
      <c r="AF1380" s="2">
        <v>2</v>
      </c>
      <c r="AG1380" s="2" t="s">
        <v>49</v>
      </c>
    </row>
    <row r="1381" spans="1:33" ht="127.5" x14ac:dyDescent="0.2">
      <c r="A1381" s="5" t="str">
        <f>HYPERLINK("http://www.patentics.cn/invokexml.do?sf=ShowPatent&amp;spn=US9100388&amp;sv=919721b8aaa92908f7a358d60ff9b23a","US9100388")</f>
        <v>US9100388</v>
      </c>
      <c r="B1381" s="3" t="s">
        <v>6363</v>
      </c>
      <c r="C1381" s="3" t="s">
        <v>6364</v>
      </c>
      <c r="D1381" s="3" t="s">
        <v>52</v>
      </c>
      <c r="E1381" s="3" t="s">
        <v>52</v>
      </c>
      <c r="F1381" s="3" t="s">
        <v>6365</v>
      </c>
      <c r="G1381" s="3" t="s">
        <v>6366</v>
      </c>
      <c r="H1381" s="3" t="s">
        <v>2041</v>
      </c>
      <c r="I1381" s="3" t="s">
        <v>2014</v>
      </c>
      <c r="J1381" s="3" t="s">
        <v>3803</v>
      </c>
      <c r="K1381" s="3" t="s">
        <v>58</v>
      </c>
      <c r="L1381" s="3" t="s">
        <v>722</v>
      </c>
      <c r="M1381" s="3" t="s">
        <v>0</v>
      </c>
      <c r="N1381" s="3" t="s">
        <v>0</v>
      </c>
      <c r="O1381" s="3">
        <v>0</v>
      </c>
      <c r="P1381" s="3">
        <v>16</v>
      </c>
      <c r="Q1381" s="3" t="s">
        <v>60</v>
      </c>
      <c r="R1381" s="3" t="s">
        <v>61</v>
      </c>
      <c r="S1381" s="3">
        <v>8</v>
      </c>
      <c r="T1381" s="3">
        <v>1</v>
      </c>
      <c r="U1381" s="3">
        <v>7</v>
      </c>
      <c r="V1381" s="3">
        <v>6</v>
      </c>
      <c r="W1381" s="3">
        <v>0</v>
      </c>
      <c r="X1381" s="3" t="s">
        <v>147</v>
      </c>
      <c r="Y1381" s="3">
        <v>0</v>
      </c>
      <c r="Z1381" s="3">
        <v>0</v>
      </c>
      <c r="AA1381" s="3">
        <v>0</v>
      </c>
      <c r="AB1381" s="3">
        <v>0</v>
      </c>
      <c r="AC1381" s="3">
        <v>13</v>
      </c>
      <c r="AD1381" s="3">
        <v>7</v>
      </c>
      <c r="AE1381" s="3">
        <v>14</v>
      </c>
      <c r="AF1381" s="3" t="s">
        <v>0</v>
      </c>
      <c r="AG1381" s="3" t="s">
        <v>49</v>
      </c>
    </row>
    <row r="1382" spans="1:33" ht="127.5" x14ac:dyDescent="0.2">
      <c r="A1382" s="5" t="str">
        <f>HYPERLINK("http://www.patentics.cn/invokexml.do?sf=ShowPatent&amp;spn=US9467856&amp;sv=aeb6ac79d71ef01c4edf2495773a6089","US9467856")</f>
        <v>US9467856</v>
      </c>
      <c r="B1382" s="3" t="s">
        <v>6367</v>
      </c>
      <c r="C1382" s="3" t="s">
        <v>6364</v>
      </c>
      <c r="D1382" s="3" t="s">
        <v>52</v>
      </c>
      <c r="E1382" s="3" t="s">
        <v>52</v>
      </c>
      <c r="F1382" s="3" t="s">
        <v>6365</v>
      </c>
      <c r="G1382" s="3" t="s">
        <v>6366</v>
      </c>
      <c r="H1382" s="3" t="s">
        <v>2041</v>
      </c>
      <c r="I1382" s="3" t="s">
        <v>6368</v>
      </c>
      <c r="J1382" s="3" t="s">
        <v>6369</v>
      </c>
      <c r="K1382" s="3" t="s">
        <v>58</v>
      </c>
      <c r="L1382" s="3" t="s">
        <v>722</v>
      </c>
      <c r="M1382" s="3" t="s">
        <v>82</v>
      </c>
      <c r="N1382" s="3" t="s">
        <v>1277</v>
      </c>
      <c r="O1382" s="3">
        <v>0</v>
      </c>
      <c r="P1382" s="3">
        <v>12</v>
      </c>
      <c r="Q1382" s="3" t="s">
        <v>60</v>
      </c>
      <c r="R1382" s="3" t="s">
        <v>61</v>
      </c>
      <c r="S1382" s="3">
        <v>13</v>
      </c>
      <c r="T1382" s="3">
        <v>2</v>
      </c>
      <c r="U1382" s="3">
        <v>11</v>
      </c>
      <c r="V1382" s="3">
        <v>8</v>
      </c>
      <c r="W1382" s="3">
        <v>0</v>
      </c>
      <c r="X1382" s="3" t="s">
        <v>147</v>
      </c>
      <c r="Y1382" s="3">
        <v>0</v>
      </c>
      <c r="Z1382" s="3">
        <v>0</v>
      </c>
      <c r="AA1382" s="3">
        <v>0</v>
      </c>
      <c r="AB1382" s="3">
        <v>0</v>
      </c>
      <c r="AC1382" s="3">
        <v>13</v>
      </c>
      <c r="AD1382" s="3">
        <v>7</v>
      </c>
      <c r="AE1382" s="3">
        <v>14</v>
      </c>
      <c r="AF1382" s="3" t="s">
        <v>0</v>
      </c>
      <c r="AG1382" s="3" t="s">
        <v>49</v>
      </c>
    </row>
    <row r="1383" spans="1:33" ht="76.5" x14ac:dyDescent="0.2">
      <c r="A1383" s="4" t="str">
        <f>HYPERLINK("http://www.patentics.cn/invokexml.do?sf=ShowPatent&amp;spn=US20120115459&amp;sv=5a590239a130f99144b4b19a8927b653","US20120115459")</f>
        <v>US20120115459</v>
      </c>
      <c r="B1383" s="2" t="s">
        <v>6370</v>
      </c>
      <c r="C1383" s="2" t="s">
        <v>6371</v>
      </c>
      <c r="D1383" s="2" t="s">
        <v>346</v>
      </c>
      <c r="E1383" s="2" t="s">
        <v>346</v>
      </c>
      <c r="F1383" s="2" t="s">
        <v>6372</v>
      </c>
      <c r="G1383" s="2" t="s">
        <v>6373</v>
      </c>
      <c r="H1383" s="2" t="s">
        <v>2335</v>
      </c>
      <c r="I1383" s="2" t="s">
        <v>6374</v>
      </c>
      <c r="J1383" s="2" t="s">
        <v>6375</v>
      </c>
      <c r="K1383" s="2" t="s">
        <v>82</v>
      </c>
      <c r="L1383" s="2" t="s">
        <v>806</v>
      </c>
      <c r="M1383" s="2" t="s">
        <v>0</v>
      </c>
      <c r="N1383" s="2" t="s">
        <v>0</v>
      </c>
      <c r="O1383" s="2">
        <v>16</v>
      </c>
      <c r="P1383" s="2">
        <v>9</v>
      </c>
      <c r="Q1383" s="2" t="s">
        <v>352</v>
      </c>
      <c r="R1383" s="2" t="s">
        <v>47</v>
      </c>
      <c r="S1383" s="2">
        <v>0</v>
      </c>
      <c r="T1383" s="2">
        <v>0</v>
      </c>
      <c r="U1383" s="2">
        <v>0</v>
      </c>
      <c r="V1383" s="2">
        <v>0</v>
      </c>
      <c r="W1383" s="2">
        <v>8</v>
      </c>
      <c r="X1383" s="2" t="s">
        <v>6376</v>
      </c>
      <c r="Y1383" s="2">
        <v>0</v>
      </c>
      <c r="Z1383" s="2">
        <v>8</v>
      </c>
      <c r="AA1383" s="2">
        <v>6</v>
      </c>
      <c r="AB1383" s="2">
        <v>1</v>
      </c>
      <c r="AC1383" s="2">
        <v>9</v>
      </c>
      <c r="AD1383" s="2">
        <v>7</v>
      </c>
      <c r="AE1383" s="2" t="s">
        <v>0</v>
      </c>
      <c r="AF1383" s="2">
        <v>2</v>
      </c>
      <c r="AG1383" s="2" t="s">
        <v>49</v>
      </c>
    </row>
    <row r="1384" spans="1:33" ht="114.75" x14ac:dyDescent="0.2">
      <c r="A1384" s="5" t="str">
        <f>HYPERLINK("http://www.patentics.cn/invokexml.do?sf=ShowPatent&amp;spn=US9462499&amp;sv=ffd138615fd216f746b6ec7dd08bac7b","US9462499")</f>
        <v>US9462499</v>
      </c>
      <c r="B1384" s="3" t="s">
        <v>4401</v>
      </c>
      <c r="C1384" s="3" t="s">
        <v>4402</v>
      </c>
      <c r="D1384" s="3" t="s">
        <v>52</v>
      </c>
      <c r="E1384" s="3" t="s">
        <v>52</v>
      </c>
      <c r="F1384" s="3" t="s">
        <v>4403</v>
      </c>
      <c r="G1384" s="3" t="s">
        <v>4404</v>
      </c>
      <c r="H1384" s="3" t="s">
        <v>4405</v>
      </c>
      <c r="I1384" s="3" t="s">
        <v>1349</v>
      </c>
      <c r="J1384" s="3" t="s">
        <v>329</v>
      </c>
      <c r="K1384" s="3" t="s">
        <v>82</v>
      </c>
      <c r="L1384" s="3" t="s">
        <v>83</v>
      </c>
      <c r="M1384" s="3" t="s">
        <v>82</v>
      </c>
      <c r="N1384" s="3" t="s">
        <v>799</v>
      </c>
      <c r="O1384" s="3">
        <v>0</v>
      </c>
      <c r="P1384" s="3">
        <v>16</v>
      </c>
      <c r="Q1384" s="3" t="s">
        <v>60</v>
      </c>
      <c r="R1384" s="3" t="s">
        <v>61</v>
      </c>
      <c r="S1384" s="3">
        <v>24</v>
      </c>
      <c r="T1384" s="3">
        <v>7</v>
      </c>
      <c r="U1384" s="3">
        <v>17</v>
      </c>
      <c r="V1384" s="3">
        <v>10</v>
      </c>
      <c r="W1384" s="3">
        <v>0</v>
      </c>
      <c r="X1384" s="3" t="s">
        <v>147</v>
      </c>
      <c r="Y1384" s="3">
        <v>0</v>
      </c>
      <c r="Z1384" s="3">
        <v>0</v>
      </c>
      <c r="AA1384" s="3">
        <v>0</v>
      </c>
      <c r="AB1384" s="3">
        <v>0</v>
      </c>
      <c r="AC1384" s="3">
        <v>5</v>
      </c>
      <c r="AD1384" s="3">
        <v>2</v>
      </c>
      <c r="AE1384" s="3">
        <v>14</v>
      </c>
      <c r="AF1384" s="3" t="s">
        <v>0</v>
      </c>
      <c r="AG1384" s="3" t="s">
        <v>49</v>
      </c>
    </row>
    <row r="1385" spans="1:33" ht="114.75" x14ac:dyDescent="0.2">
      <c r="A1385" s="5" t="str">
        <f>HYPERLINK("http://www.patentics.cn/invokexml.do?sf=ShowPatent&amp;spn=US9497654&amp;sv=a4183fb62e0e343ca73afc7d375930af","US9497654")</f>
        <v>US9497654</v>
      </c>
      <c r="B1385" s="3" t="s">
        <v>4406</v>
      </c>
      <c r="C1385" s="3" t="s">
        <v>4402</v>
      </c>
      <c r="D1385" s="3" t="s">
        <v>52</v>
      </c>
      <c r="E1385" s="3" t="s">
        <v>52</v>
      </c>
      <c r="F1385" s="3" t="s">
        <v>4403</v>
      </c>
      <c r="G1385" s="3" t="s">
        <v>4404</v>
      </c>
      <c r="H1385" s="3" t="s">
        <v>4405</v>
      </c>
      <c r="I1385" s="3" t="s">
        <v>1349</v>
      </c>
      <c r="J1385" s="3" t="s">
        <v>1677</v>
      </c>
      <c r="K1385" s="3" t="s">
        <v>82</v>
      </c>
      <c r="L1385" s="3" t="s">
        <v>2082</v>
      </c>
      <c r="M1385" s="3" t="s">
        <v>82</v>
      </c>
      <c r="N1385" s="3" t="s">
        <v>799</v>
      </c>
      <c r="O1385" s="3">
        <v>0</v>
      </c>
      <c r="P1385" s="3">
        <v>20</v>
      </c>
      <c r="Q1385" s="3" t="s">
        <v>60</v>
      </c>
      <c r="R1385" s="3" t="s">
        <v>61</v>
      </c>
      <c r="S1385" s="3">
        <v>23</v>
      </c>
      <c r="T1385" s="3">
        <v>6</v>
      </c>
      <c r="U1385" s="3">
        <v>17</v>
      </c>
      <c r="V1385" s="3">
        <v>10</v>
      </c>
      <c r="W1385" s="3">
        <v>0</v>
      </c>
      <c r="X1385" s="3" t="s">
        <v>147</v>
      </c>
      <c r="Y1385" s="3">
        <v>0</v>
      </c>
      <c r="Z1385" s="3">
        <v>0</v>
      </c>
      <c r="AA1385" s="3">
        <v>0</v>
      </c>
      <c r="AB1385" s="3">
        <v>0</v>
      </c>
      <c r="AC1385" s="3">
        <v>5</v>
      </c>
      <c r="AD1385" s="3">
        <v>2</v>
      </c>
      <c r="AE1385" s="3">
        <v>14</v>
      </c>
      <c r="AF1385" s="3" t="s">
        <v>0</v>
      </c>
      <c r="AG1385" s="3" t="s">
        <v>49</v>
      </c>
    </row>
    <row r="1386" spans="1:33" ht="51" x14ac:dyDescent="0.2">
      <c r="A1386" s="4" t="str">
        <f>HYPERLINK("http://www.patentics.cn/invokexml.do?sf=ShowPatent&amp;spn=US20120114031&amp;sv=d88af19362e386767ee593b37133ad39","US20120114031")</f>
        <v>US20120114031</v>
      </c>
      <c r="B1386" s="2" t="s">
        <v>6377</v>
      </c>
      <c r="C1386" s="2" t="s">
        <v>6378</v>
      </c>
      <c r="D1386" s="2" t="s">
        <v>346</v>
      </c>
      <c r="E1386" s="2" t="s">
        <v>346</v>
      </c>
      <c r="F1386" s="2" t="s">
        <v>6379</v>
      </c>
      <c r="G1386" s="2" t="s">
        <v>6380</v>
      </c>
      <c r="H1386" s="2" t="s">
        <v>3050</v>
      </c>
      <c r="I1386" s="2" t="s">
        <v>1043</v>
      </c>
      <c r="J1386" s="2" t="s">
        <v>6375</v>
      </c>
      <c r="K1386" s="2" t="s">
        <v>58</v>
      </c>
      <c r="L1386" s="2" t="s">
        <v>3311</v>
      </c>
      <c r="M1386" s="2" t="s">
        <v>0</v>
      </c>
      <c r="N1386" s="2" t="s">
        <v>0</v>
      </c>
      <c r="O1386" s="2">
        <v>16</v>
      </c>
      <c r="P1386" s="2">
        <v>6</v>
      </c>
      <c r="Q1386" s="2" t="s">
        <v>352</v>
      </c>
      <c r="R1386" s="2" t="s">
        <v>47</v>
      </c>
      <c r="S1386" s="2">
        <v>0</v>
      </c>
      <c r="T1386" s="2">
        <v>0</v>
      </c>
      <c r="U1386" s="2">
        <v>0</v>
      </c>
      <c r="V1386" s="2">
        <v>0</v>
      </c>
      <c r="W1386" s="2">
        <v>3</v>
      </c>
      <c r="X1386" s="2" t="s">
        <v>1501</v>
      </c>
      <c r="Y1386" s="2">
        <v>0</v>
      </c>
      <c r="Z1386" s="2">
        <v>3</v>
      </c>
      <c r="AA1386" s="2">
        <v>2</v>
      </c>
      <c r="AB1386" s="2">
        <v>2</v>
      </c>
      <c r="AC1386" s="2">
        <v>5</v>
      </c>
      <c r="AD1386" s="2">
        <v>4</v>
      </c>
      <c r="AE1386" s="2" t="s">
        <v>0</v>
      </c>
      <c r="AF1386" s="2">
        <v>2</v>
      </c>
      <c r="AG1386" s="2" t="s">
        <v>49</v>
      </c>
    </row>
    <row r="1387" spans="1:33" ht="63.75" x14ac:dyDescent="0.2">
      <c r="A1387" s="5" t="str">
        <f>HYPERLINK("http://www.patentics.cn/invokexml.do?sf=ShowPatent&amp;spn=US9001878&amp;sv=2a9b23d7ec50a2c95b64a60d7e9e39c2","US9001878")</f>
        <v>US9001878</v>
      </c>
      <c r="B1387" s="3" t="s">
        <v>6381</v>
      </c>
      <c r="C1387" s="3" t="s">
        <v>6382</v>
      </c>
      <c r="D1387" s="3" t="s">
        <v>52</v>
      </c>
      <c r="E1387" s="3" t="s">
        <v>52</v>
      </c>
      <c r="F1387" s="3" t="s">
        <v>6383</v>
      </c>
      <c r="G1387" s="3" t="s">
        <v>6384</v>
      </c>
      <c r="H1387" s="3" t="s">
        <v>1019</v>
      </c>
      <c r="I1387" s="3" t="s">
        <v>1019</v>
      </c>
      <c r="J1387" s="3" t="s">
        <v>1071</v>
      </c>
      <c r="K1387" s="3" t="s">
        <v>84</v>
      </c>
      <c r="L1387" s="3" t="s">
        <v>6385</v>
      </c>
      <c r="M1387" s="3" t="s">
        <v>58</v>
      </c>
      <c r="N1387" s="3" t="s">
        <v>6386</v>
      </c>
      <c r="O1387" s="3">
        <v>0</v>
      </c>
      <c r="P1387" s="3">
        <v>14</v>
      </c>
      <c r="Q1387" s="3" t="s">
        <v>60</v>
      </c>
      <c r="R1387" s="3" t="s">
        <v>61</v>
      </c>
      <c r="S1387" s="3">
        <v>10</v>
      </c>
      <c r="T1387" s="3">
        <v>0</v>
      </c>
      <c r="U1387" s="3">
        <v>10</v>
      </c>
      <c r="V1387" s="3">
        <v>8</v>
      </c>
      <c r="W1387" s="3">
        <v>0</v>
      </c>
      <c r="X1387" s="3" t="s">
        <v>147</v>
      </c>
      <c r="Y1387" s="3">
        <v>0</v>
      </c>
      <c r="Z1387" s="3">
        <v>0</v>
      </c>
      <c r="AA1387" s="3">
        <v>0</v>
      </c>
      <c r="AB1387" s="3">
        <v>0</v>
      </c>
      <c r="AC1387" s="3">
        <v>3</v>
      </c>
      <c r="AD1387" s="3">
        <v>2</v>
      </c>
      <c r="AE1387" s="3">
        <v>14</v>
      </c>
      <c r="AF1387" s="3" t="s">
        <v>0</v>
      </c>
      <c r="AG1387" s="3" t="s">
        <v>49</v>
      </c>
    </row>
    <row r="1388" spans="1:33" ht="63.75" x14ac:dyDescent="0.2">
      <c r="A1388" s="5" t="str">
        <f>HYPERLINK("http://www.patentics.cn/invokexml.do?sf=ShowPatent&amp;spn=WO2014130196&amp;sv=3616d0ba624bff83ec5e0c50c26f69a3","WO2014130196")</f>
        <v>WO2014130196</v>
      </c>
      <c r="B1388" s="3" t="s">
        <v>6387</v>
      </c>
      <c r="C1388" s="3" t="s">
        <v>6382</v>
      </c>
      <c r="D1388" s="3" t="s">
        <v>52</v>
      </c>
      <c r="E1388" s="3" t="s">
        <v>52</v>
      </c>
      <c r="F1388" s="3" t="s">
        <v>6388</v>
      </c>
      <c r="G1388" s="3" t="s">
        <v>6389</v>
      </c>
      <c r="H1388" s="3" t="s">
        <v>1019</v>
      </c>
      <c r="I1388" s="3" t="s">
        <v>4006</v>
      </c>
      <c r="J1388" s="3" t="s">
        <v>1730</v>
      </c>
      <c r="K1388" s="3" t="s">
        <v>1935</v>
      </c>
      <c r="L1388" s="3" t="s">
        <v>6390</v>
      </c>
      <c r="M1388" s="3" t="s">
        <v>0</v>
      </c>
      <c r="N1388" s="3" t="s">
        <v>0</v>
      </c>
      <c r="O1388" s="3">
        <v>53</v>
      </c>
      <c r="P1388" s="3">
        <v>17</v>
      </c>
      <c r="Q1388" s="3" t="s">
        <v>352</v>
      </c>
      <c r="R1388" s="3" t="s">
        <v>61</v>
      </c>
      <c r="S1388" s="3">
        <v>4</v>
      </c>
      <c r="T1388" s="3">
        <v>0</v>
      </c>
      <c r="U1388" s="3">
        <v>4</v>
      </c>
      <c r="V1388" s="3">
        <v>2</v>
      </c>
      <c r="W1388" s="3">
        <v>0</v>
      </c>
      <c r="X1388" s="3" t="s">
        <v>147</v>
      </c>
      <c r="Y1388" s="3">
        <v>0</v>
      </c>
      <c r="Z1388" s="3">
        <v>0</v>
      </c>
      <c r="AA1388" s="3">
        <v>0</v>
      </c>
      <c r="AB1388" s="3">
        <v>0</v>
      </c>
      <c r="AC1388" s="3">
        <v>3</v>
      </c>
      <c r="AD1388" s="3">
        <v>2</v>
      </c>
      <c r="AE1388" s="3">
        <v>14</v>
      </c>
      <c r="AF1388" s="3" t="s">
        <v>0</v>
      </c>
      <c r="AG1388" s="3" t="s">
        <v>0</v>
      </c>
    </row>
    <row r="1389" spans="1:33" ht="51" x14ac:dyDescent="0.2">
      <c r="A1389" s="4" t="str">
        <f>HYPERLINK("http://www.patentics.cn/invokexml.do?sf=ShowPatent&amp;spn=US20120108244&amp;sv=622135f978ff2037ae0f8685a6c4de3f","US20120108244")</f>
        <v>US20120108244</v>
      </c>
      <c r="B1389" s="2" t="s">
        <v>6391</v>
      </c>
      <c r="C1389" s="2" t="s">
        <v>6392</v>
      </c>
      <c r="D1389" s="2" t="s">
        <v>346</v>
      </c>
      <c r="E1389" s="2" t="s">
        <v>346</v>
      </c>
      <c r="F1389" s="2" t="s">
        <v>6393</v>
      </c>
      <c r="G1389" s="2" t="s">
        <v>6394</v>
      </c>
      <c r="H1389" s="2" t="s">
        <v>3773</v>
      </c>
      <c r="I1389" s="2" t="s">
        <v>6395</v>
      </c>
      <c r="J1389" s="2" t="s">
        <v>6396</v>
      </c>
      <c r="K1389" s="2" t="s">
        <v>82</v>
      </c>
      <c r="L1389" s="2" t="s">
        <v>1133</v>
      </c>
      <c r="M1389" s="2" t="s">
        <v>0</v>
      </c>
      <c r="N1389" s="2" t="s">
        <v>0</v>
      </c>
      <c r="O1389" s="2">
        <v>20</v>
      </c>
      <c r="P1389" s="2">
        <v>21</v>
      </c>
      <c r="Q1389" s="2" t="s">
        <v>352</v>
      </c>
      <c r="R1389" s="2" t="s">
        <v>47</v>
      </c>
      <c r="S1389" s="2">
        <v>0</v>
      </c>
      <c r="T1389" s="2">
        <v>0</v>
      </c>
      <c r="U1389" s="2">
        <v>0</v>
      </c>
      <c r="V1389" s="2">
        <v>0</v>
      </c>
      <c r="W1389" s="2">
        <v>6</v>
      </c>
      <c r="X1389" s="2" t="s">
        <v>572</v>
      </c>
      <c r="Y1389" s="2">
        <v>0</v>
      </c>
      <c r="Z1389" s="2">
        <v>6</v>
      </c>
      <c r="AA1389" s="2">
        <v>5</v>
      </c>
      <c r="AB1389" s="2">
        <v>1</v>
      </c>
      <c r="AC1389" s="2">
        <v>9</v>
      </c>
      <c r="AD1389" s="2">
        <v>7</v>
      </c>
      <c r="AE1389" s="2" t="s">
        <v>0</v>
      </c>
      <c r="AF1389" s="2">
        <v>2</v>
      </c>
      <c r="AG1389" s="2" t="s">
        <v>49</v>
      </c>
    </row>
    <row r="1390" spans="1:33" ht="102" x14ac:dyDescent="0.2">
      <c r="A1390" s="5" t="str">
        <f>HYPERLINK("http://www.patentics.cn/invokexml.do?sf=ShowPatent&amp;spn=US8520594&amp;sv=7c78ae79812726c74fca0b8ca154e422","US8520594")</f>
        <v>US8520594</v>
      </c>
      <c r="B1390" s="3" t="s">
        <v>6323</v>
      </c>
      <c r="C1390" s="3" t="s">
        <v>6324</v>
      </c>
      <c r="D1390" s="3" t="s">
        <v>52</v>
      </c>
      <c r="E1390" s="3" t="s">
        <v>52</v>
      </c>
      <c r="F1390" s="3" t="s">
        <v>6325</v>
      </c>
      <c r="G1390" s="3" t="s">
        <v>2239</v>
      </c>
      <c r="H1390" s="3" t="s">
        <v>5465</v>
      </c>
      <c r="I1390" s="3" t="s">
        <v>3728</v>
      </c>
      <c r="J1390" s="3" t="s">
        <v>6326</v>
      </c>
      <c r="K1390" s="3" t="s">
        <v>82</v>
      </c>
      <c r="L1390" s="3" t="s">
        <v>83</v>
      </c>
      <c r="M1390" s="3" t="s">
        <v>82</v>
      </c>
      <c r="N1390" s="3" t="s">
        <v>6327</v>
      </c>
      <c r="O1390" s="3">
        <v>0</v>
      </c>
      <c r="P1390" s="3">
        <v>11</v>
      </c>
      <c r="Q1390" s="3" t="s">
        <v>60</v>
      </c>
      <c r="R1390" s="3" t="s">
        <v>61</v>
      </c>
      <c r="S1390" s="3">
        <v>44</v>
      </c>
      <c r="T1390" s="3">
        <v>5</v>
      </c>
      <c r="U1390" s="3">
        <v>39</v>
      </c>
      <c r="V1390" s="3">
        <v>15</v>
      </c>
      <c r="W1390" s="3">
        <v>8</v>
      </c>
      <c r="X1390" s="3" t="s">
        <v>1351</v>
      </c>
      <c r="Y1390" s="3">
        <v>1</v>
      </c>
      <c r="Z1390" s="3">
        <v>7</v>
      </c>
      <c r="AA1390" s="3">
        <v>2</v>
      </c>
      <c r="AB1390" s="3">
        <v>2</v>
      </c>
      <c r="AC1390" s="3">
        <v>20</v>
      </c>
      <c r="AD1390" s="3">
        <v>7</v>
      </c>
      <c r="AE1390" s="3">
        <v>14</v>
      </c>
      <c r="AF1390" s="3" t="s">
        <v>0</v>
      </c>
      <c r="AG1390" s="3" t="s">
        <v>49</v>
      </c>
    </row>
    <row r="1391" spans="1:33" ht="76.5" x14ac:dyDescent="0.2">
      <c r="A1391" s="5" t="str">
        <f>HYPERLINK("http://www.patentics.cn/invokexml.do?sf=ShowPatent&amp;spn=US8731551&amp;sv=4e270e5593d6a50fe0385a2b9a854120","US8731551")</f>
        <v>US8731551</v>
      </c>
      <c r="B1391" s="3" t="s">
        <v>5462</v>
      </c>
      <c r="C1391" s="3" t="s">
        <v>5463</v>
      </c>
      <c r="D1391" s="3" t="s">
        <v>52</v>
      </c>
      <c r="E1391" s="3" t="s">
        <v>52</v>
      </c>
      <c r="F1391" s="3" t="s">
        <v>5464</v>
      </c>
      <c r="G1391" s="3" t="s">
        <v>3015</v>
      </c>
      <c r="H1391" s="3" t="s">
        <v>5465</v>
      </c>
      <c r="I1391" s="3" t="s">
        <v>3728</v>
      </c>
      <c r="J1391" s="3" t="s">
        <v>4687</v>
      </c>
      <c r="K1391" s="3" t="s">
        <v>82</v>
      </c>
      <c r="L1391" s="3" t="s">
        <v>83</v>
      </c>
      <c r="M1391" s="3" t="s">
        <v>58</v>
      </c>
      <c r="N1391" s="3" t="s">
        <v>5466</v>
      </c>
      <c r="O1391" s="3">
        <v>0</v>
      </c>
      <c r="P1391" s="3">
        <v>14</v>
      </c>
      <c r="Q1391" s="3" t="s">
        <v>60</v>
      </c>
      <c r="R1391" s="3" t="s">
        <v>61</v>
      </c>
      <c r="S1391" s="3">
        <v>54</v>
      </c>
      <c r="T1391" s="3">
        <v>7</v>
      </c>
      <c r="U1391" s="3">
        <v>47</v>
      </c>
      <c r="V1391" s="3">
        <v>16</v>
      </c>
      <c r="W1391" s="3">
        <v>8</v>
      </c>
      <c r="X1391" s="3" t="s">
        <v>378</v>
      </c>
      <c r="Y1391" s="3">
        <v>1</v>
      </c>
      <c r="Z1391" s="3">
        <v>7</v>
      </c>
      <c r="AA1391" s="3">
        <v>2</v>
      </c>
      <c r="AB1391" s="3">
        <v>2</v>
      </c>
      <c r="AC1391" s="3">
        <v>20</v>
      </c>
      <c r="AD1391" s="3">
        <v>7</v>
      </c>
      <c r="AE1391" s="3">
        <v>14</v>
      </c>
      <c r="AF1391" s="3" t="s">
        <v>0</v>
      </c>
      <c r="AG1391" s="3" t="s">
        <v>49</v>
      </c>
    </row>
    <row r="1392" spans="1:33" ht="25.5" x14ac:dyDescent="0.2">
      <c r="A1392" s="4" t="str">
        <f>HYPERLINK("http://www.patentics.cn/invokexml.do?sf=ShowPatent&amp;spn=US20120106570&amp;sv=693473f4727ca0d9bbd9bb1dbe4bb836","US20120106570")</f>
        <v>US20120106570</v>
      </c>
      <c r="B1392" s="2" t="s">
        <v>6397</v>
      </c>
      <c r="C1392" s="2" t="s">
        <v>6398</v>
      </c>
      <c r="D1392" s="2" t="s">
        <v>346</v>
      </c>
      <c r="E1392" s="2" t="s">
        <v>346</v>
      </c>
      <c r="F1392" s="2" t="s">
        <v>6399</v>
      </c>
      <c r="G1392" s="2" t="s">
        <v>6399</v>
      </c>
      <c r="H1392" s="2" t="s">
        <v>6400</v>
      </c>
      <c r="I1392" s="2" t="s">
        <v>6401</v>
      </c>
      <c r="J1392" s="2" t="s">
        <v>6396</v>
      </c>
      <c r="K1392" s="2" t="s">
        <v>58</v>
      </c>
      <c r="L1392" s="2" t="s">
        <v>1784</v>
      </c>
      <c r="M1392" s="2" t="s">
        <v>0</v>
      </c>
      <c r="N1392" s="2" t="s">
        <v>0</v>
      </c>
      <c r="O1392" s="2">
        <v>16</v>
      </c>
      <c r="P1392" s="2">
        <v>8</v>
      </c>
      <c r="Q1392" s="2" t="s">
        <v>352</v>
      </c>
      <c r="R1392" s="2" t="s">
        <v>47</v>
      </c>
      <c r="S1392" s="2">
        <v>0</v>
      </c>
      <c r="T1392" s="2">
        <v>0</v>
      </c>
      <c r="U1392" s="2">
        <v>0</v>
      </c>
      <c r="V1392" s="2">
        <v>0</v>
      </c>
      <c r="W1392" s="2">
        <v>5</v>
      </c>
      <c r="X1392" s="2" t="s">
        <v>2204</v>
      </c>
      <c r="Y1392" s="2">
        <v>0</v>
      </c>
      <c r="Z1392" s="2">
        <v>5</v>
      </c>
      <c r="AA1392" s="2">
        <v>3</v>
      </c>
      <c r="AB1392" s="2">
        <v>2</v>
      </c>
      <c r="AC1392" s="2">
        <v>7</v>
      </c>
      <c r="AD1392" s="2">
        <v>6</v>
      </c>
      <c r="AE1392" s="2" t="s">
        <v>0</v>
      </c>
      <c r="AF1392" s="2">
        <v>2</v>
      </c>
      <c r="AG1392" s="2" t="s">
        <v>2231</v>
      </c>
    </row>
    <row r="1393" spans="1:33" ht="102" x14ac:dyDescent="0.2">
      <c r="A1393" s="5" t="str">
        <f>HYPERLINK("http://www.patentics.cn/invokexml.do?sf=ShowPatent&amp;spn=US9565615&amp;sv=31ce58a904427b2d5221a023c7eaa699","US9565615")</f>
        <v>US9565615</v>
      </c>
      <c r="B1393" s="3" t="s">
        <v>6402</v>
      </c>
      <c r="C1393" s="3" t="s">
        <v>6403</v>
      </c>
      <c r="D1393" s="3" t="s">
        <v>52</v>
      </c>
      <c r="E1393" s="3" t="s">
        <v>52</v>
      </c>
      <c r="F1393" s="3" t="s">
        <v>6404</v>
      </c>
      <c r="G1393" s="3" t="s">
        <v>6405</v>
      </c>
      <c r="H1393" s="3" t="s">
        <v>4545</v>
      </c>
      <c r="I1393" s="3" t="s">
        <v>2828</v>
      </c>
      <c r="J1393" s="3" t="s">
        <v>6406</v>
      </c>
      <c r="K1393" s="3" t="s">
        <v>82</v>
      </c>
      <c r="L1393" s="3" t="s">
        <v>3228</v>
      </c>
      <c r="M1393" s="3" t="s">
        <v>82</v>
      </c>
      <c r="N1393" s="3" t="s">
        <v>6407</v>
      </c>
      <c r="O1393" s="3">
        <v>0</v>
      </c>
      <c r="P1393" s="3">
        <v>24</v>
      </c>
      <c r="Q1393" s="3" t="s">
        <v>60</v>
      </c>
      <c r="R1393" s="3" t="s">
        <v>61</v>
      </c>
      <c r="S1393" s="3">
        <v>37</v>
      </c>
      <c r="T1393" s="3">
        <v>3</v>
      </c>
      <c r="U1393" s="3">
        <v>34</v>
      </c>
      <c r="V1393" s="3">
        <v>23</v>
      </c>
      <c r="W1393" s="3">
        <v>0</v>
      </c>
      <c r="X1393" s="3" t="s">
        <v>147</v>
      </c>
      <c r="Y1393" s="3">
        <v>0</v>
      </c>
      <c r="Z1393" s="3">
        <v>0</v>
      </c>
      <c r="AA1393" s="3">
        <v>0</v>
      </c>
      <c r="AB1393" s="3">
        <v>0</v>
      </c>
      <c r="AC1393" s="3">
        <v>4</v>
      </c>
      <c r="AD1393" s="3">
        <v>3</v>
      </c>
      <c r="AE1393" s="3">
        <v>14</v>
      </c>
      <c r="AF1393" s="3" t="s">
        <v>0</v>
      </c>
      <c r="AG1393" s="3" t="s">
        <v>49</v>
      </c>
    </row>
    <row r="1394" spans="1:33" ht="38.25" x14ac:dyDescent="0.2">
      <c r="A1394" s="5" t="str">
        <f>HYPERLINK("http://www.patentics.cn/invokexml.do?sf=ShowPatent&amp;spn=WO2013173553&amp;sv=ed20d43261a7c402385b1b5606db2f47","WO2013173553")</f>
        <v>WO2013173553</v>
      </c>
      <c r="B1394" s="3" t="s">
        <v>6408</v>
      </c>
      <c r="C1394" s="3" t="s">
        <v>6409</v>
      </c>
      <c r="D1394" s="3" t="s">
        <v>52</v>
      </c>
      <c r="E1394" s="3" t="s">
        <v>52</v>
      </c>
      <c r="F1394" s="3" t="s">
        <v>6410</v>
      </c>
      <c r="G1394" s="3" t="s">
        <v>6410</v>
      </c>
      <c r="H1394" s="3" t="s">
        <v>4545</v>
      </c>
      <c r="I1394" s="3" t="s">
        <v>6411</v>
      </c>
      <c r="J1394" s="3" t="s">
        <v>4551</v>
      </c>
      <c r="K1394" s="3" t="s">
        <v>58</v>
      </c>
      <c r="L1394" s="3" t="s">
        <v>722</v>
      </c>
      <c r="M1394" s="3" t="s">
        <v>0</v>
      </c>
      <c r="N1394" s="3" t="s">
        <v>0</v>
      </c>
      <c r="O1394" s="3">
        <v>55</v>
      </c>
      <c r="P1394" s="3">
        <v>16</v>
      </c>
      <c r="Q1394" s="3" t="s">
        <v>352</v>
      </c>
      <c r="R1394" s="3" t="s">
        <v>61</v>
      </c>
      <c r="S1394" s="3">
        <v>5</v>
      </c>
      <c r="T1394" s="3">
        <v>1</v>
      </c>
      <c r="U1394" s="3">
        <v>4</v>
      </c>
      <c r="V1394" s="3">
        <v>4</v>
      </c>
      <c r="W1394" s="3">
        <v>0</v>
      </c>
      <c r="X1394" s="3" t="s">
        <v>147</v>
      </c>
      <c r="Y1394" s="3">
        <v>0</v>
      </c>
      <c r="Z1394" s="3">
        <v>0</v>
      </c>
      <c r="AA1394" s="3">
        <v>0</v>
      </c>
      <c r="AB1394" s="3">
        <v>0</v>
      </c>
      <c r="AC1394" s="3">
        <v>4</v>
      </c>
      <c r="AD1394" s="3">
        <v>3</v>
      </c>
      <c r="AE1394" s="3">
        <v>14</v>
      </c>
      <c r="AF1394" s="3" t="s">
        <v>0</v>
      </c>
      <c r="AG1394" s="3" t="s">
        <v>0</v>
      </c>
    </row>
    <row r="1395" spans="1:33" ht="89.25" x14ac:dyDescent="0.2">
      <c r="A1395" s="4" t="str">
        <f>HYPERLINK("http://www.patentics.cn/invokexml.do?sf=ShowPatent&amp;spn=US20120093063&amp;sv=9459f58fa7aaa8e30e9ec6231c6b8d85","US20120093063")</f>
        <v>US20120093063</v>
      </c>
      <c r="B1395" s="2" t="s">
        <v>6412</v>
      </c>
      <c r="C1395" s="2" t="s">
        <v>6413</v>
      </c>
      <c r="D1395" s="2" t="s">
        <v>346</v>
      </c>
      <c r="E1395" s="2" t="s">
        <v>346</v>
      </c>
      <c r="F1395" s="2" t="s">
        <v>6414</v>
      </c>
      <c r="G1395" s="2" t="s">
        <v>6415</v>
      </c>
      <c r="H1395" s="2" t="s">
        <v>6416</v>
      </c>
      <c r="I1395" s="2" t="s">
        <v>6417</v>
      </c>
      <c r="J1395" s="2" t="s">
        <v>1489</v>
      </c>
      <c r="K1395" s="2" t="s">
        <v>82</v>
      </c>
      <c r="L1395" s="2" t="s">
        <v>83</v>
      </c>
      <c r="M1395" s="2" t="s">
        <v>0</v>
      </c>
      <c r="N1395" s="2" t="s">
        <v>0</v>
      </c>
      <c r="O1395" s="2">
        <v>23</v>
      </c>
      <c r="P1395" s="2">
        <v>12</v>
      </c>
      <c r="Q1395" s="2" t="s">
        <v>352</v>
      </c>
      <c r="R1395" s="2" t="s">
        <v>47</v>
      </c>
      <c r="S1395" s="2">
        <v>0</v>
      </c>
      <c r="T1395" s="2">
        <v>0</v>
      </c>
      <c r="U1395" s="2">
        <v>0</v>
      </c>
      <c r="V1395" s="2">
        <v>0</v>
      </c>
      <c r="W1395" s="2">
        <v>3</v>
      </c>
      <c r="X1395" s="2" t="s">
        <v>6418</v>
      </c>
      <c r="Y1395" s="2">
        <v>0</v>
      </c>
      <c r="Z1395" s="2">
        <v>3</v>
      </c>
      <c r="AA1395" s="2">
        <v>2</v>
      </c>
      <c r="AB1395" s="2">
        <v>1</v>
      </c>
      <c r="AC1395" s="2">
        <v>9</v>
      </c>
      <c r="AD1395" s="2">
        <v>6</v>
      </c>
      <c r="AE1395" s="2" t="s">
        <v>0</v>
      </c>
      <c r="AF1395" s="2">
        <v>2</v>
      </c>
      <c r="AG1395" s="2" t="s">
        <v>49</v>
      </c>
    </row>
    <row r="1396" spans="1:33" ht="191.25" x14ac:dyDescent="0.2">
      <c r="A1396" s="5" t="str">
        <f>HYPERLINK("http://www.patentics.cn/invokexml.do?sf=ShowPatent&amp;spn=US8937906&amp;sv=4fbf1ad169c799f13557c1abe30ca805","US8937906")</f>
        <v>US8937906</v>
      </c>
      <c r="B1396" s="3" t="s">
        <v>6419</v>
      </c>
      <c r="C1396" s="3" t="s">
        <v>6420</v>
      </c>
      <c r="D1396" s="3" t="s">
        <v>52</v>
      </c>
      <c r="E1396" s="3" t="s">
        <v>52</v>
      </c>
      <c r="F1396" s="3" t="s">
        <v>6421</v>
      </c>
      <c r="G1396" s="3" t="s">
        <v>1091</v>
      </c>
      <c r="H1396" s="3" t="s">
        <v>4877</v>
      </c>
      <c r="I1396" s="3" t="s">
        <v>4443</v>
      </c>
      <c r="J1396" s="3" t="s">
        <v>5558</v>
      </c>
      <c r="K1396" s="3" t="s">
        <v>43</v>
      </c>
      <c r="L1396" s="3" t="s">
        <v>57</v>
      </c>
      <c r="M1396" s="3" t="s">
        <v>58</v>
      </c>
      <c r="N1396" s="3" t="s">
        <v>4314</v>
      </c>
      <c r="O1396" s="3">
        <v>0</v>
      </c>
      <c r="P1396" s="3">
        <v>12</v>
      </c>
      <c r="Q1396" s="3" t="s">
        <v>60</v>
      </c>
      <c r="R1396" s="3" t="s">
        <v>61</v>
      </c>
      <c r="S1396" s="3">
        <v>14</v>
      </c>
      <c r="T1396" s="3">
        <v>3</v>
      </c>
      <c r="U1396" s="3">
        <v>11</v>
      </c>
      <c r="V1396" s="3">
        <v>6</v>
      </c>
      <c r="W1396" s="3">
        <v>8</v>
      </c>
      <c r="X1396" s="3" t="s">
        <v>147</v>
      </c>
      <c r="Y1396" s="3">
        <v>0</v>
      </c>
      <c r="Z1396" s="3">
        <v>8</v>
      </c>
      <c r="AA1396" s="3">
        <v>0</v>
      </c>
      <c r="AB1396" s="3">
        <v>1</v>
      </c>
      <c r="AC1396" s="3">
        <v>6</v>
      </c>
      <c r="AD1396" s="3">
        <v>6</v>
      </c>
      <c r="AE1396" s="3">
        <v>14</v>
      </c>
      <c r="AF1396" s="3" t="s">
        <v>0</v>
      </c>
      <c r="AG1396" s="3" t="s">
        <v>49</v>
      </c>
    </row>
    <row r="1397" spans="1:33" ht="51" x14ac:dyDescent="0.2">
      <c r="A1397" s="5" t="str">
        <f>HYPERLINK("http://www.patentics.cn/invokexml.do?sf=ShowPatent&amp;spn=US9380567&amp;sv=5e6740297bbea6cf7f2ae61cb5d0c710","US9380567")</f>
        <v>US9380567</v>
      </c>
      <c r="B1397" s="3" t="s">
        <v>5228</v>
      </c>
      <c r="C1397" s="3" t="s">
        <v>5229</v>
      </c>
      <c r="D1397" s="3" t="s">
        <v>52</v>
      </c>
      <c r="E1397" s="3" t="s">
        <v>52</v>
      </c>
      <c r="F1397" s="3" t="s">
        <v>5230</v>
      </c>
      <c r="G1397" s="3" t="s">
        <v>1091</v>
      </c>
      <c r="H1397" s="3" t="s">
        <v>3181</v>
      </c>
      <c r="I1397" s="3" t="s">
        <v>5231</v>
      </c>
      <c r="J1397" s="3" t="s">
        <v>704</v>
      </c>
      <c r="K1397" s="3" t="s">
        <v>82</v>
      </c>
      <c r="L1397" s="3" t="s">
        <v>244</v>
      </c>
      <c r="M1397" s="3" t="s">
        <v>82</v>
      </c>
      <c r="N1397" s="3" t="s">
        <v>1185</v>
      </c>
      <c r="O1397" s="3">
        <v>0</v>
      </c>
      <c r="P1397" s="3">
        <v>10</v>
      </c>
      <c r="Q1397" s="3" t="s">
        <v>60</v>
      </c>
      <c r="R1397" s="3" t="s">
        <v>61</v>
      </c>
      <c r="S1397" s="3">
        <v>17</v>
      </c>
      <c r="T1397" s="3">
        <v>1</v>
      </c>
      <c r="U1397" s="3">
        <v>16</v>
      </c>
      <c r="V1397" s="3">
        <v>4</v>
      </c>
      <c r="W1397" s="3">
        <v>0</v>
      </c>
      <c r="X1397" s="3" t="s">
        <v>147</v>
      </c>
      <c r="Y1397" s="3">
        <v>0</v>
      </c>
      <c r="Z1397" s="3">
        <v>0</v>
      </c>
      <c r="AA1397" s="3">
        <v>0</v>
      </c>
      <c r="AB1397" s="3">
        <v>0</v>
      </c>
      <c r="AC1397" s="3">
        <v>7</v>
      </c>
      <c r="AD1397" s="3">
        <v>6</v>
      </c>
      <c r="AE1397" s="3">
        <v>14</v>
      </c>
      <c r="AF1397" s="3" t="s">
        <v>0</v>
      </c>
      <c r="AG1397" s="3" t="s">
        <v>49</v>
      </c>
    </row>
    <row r="1398" spans="1:33" ht="51" x14ac:dyDescent="0.2">
      <c r="A1398" s="4" t="str">
        <f>HYPERLINK("http://www.patentics.cn/invokexml.do?sf=ShowPatent&amp;spn=US20120093051&amp;sv=26bcb2c2ddd3e0a2cbbbe7fe096ecaa1","US20120093051")</f>
        <v>US20120093051</v>
      </c>
      <c r="B1398" s="2" t="s">
        <v>6422</v>
      </c>
      <c r="C1398" s="2" t="s">
        <v>6423</v>
      </c>
      <c r="D1398" s="2" t="s">
        <v>346</v>
      </c>
      <c r="E1398" s="2" t="s">
        <v>346</v>
      </c>
      <c r="F1398" s="2" t="s">
        <v>6424</v>
      </c>
      <c r="G1398" s="2" t="s">
        <v>6424</v>
      </c>
      <c r="H1398" s="2" t="s">
        <v>4250</v>
      </c>
      <c r="I1398" s="2" t="s">
        <v>1056</v>
      </c>
      <c r="J1398" s="2" t="s">
        <v>1489</v>
      </c>
      <c r="K1398" s="2" t="s">
        <v>82</v>
      </c>
      <c r="L1398" s="2" t="s">
        <v>1767</v>
      </c>
      <c r="M1398" s="2" t="s">
        <v>0</v>
      </c>
      <c r="N1398" s="2" t="s">
        <v>0</v>
      </c>
      <c r="O1398" s="2">
        <v>7</v>
      </c>
      <c r="P1398" s="2">
        <v>11</v>
      </c>
      <c r="Q1398" s="2" t="s">
        <v>352</v>
      </c>
      <c r="R1398" s="2" t="s">
        <v>47</v>
      </c>
      <c r="S1398" s="2">
        <v>0</v>
      </c>
      <c r="T1398" s="2">
        <v>0</v>
      </c>
      <c r="U1398" s="2">
        <v>0</v>
      </c>
      <c r="V1398" s="2">
        <v>0</v>
      </c>
      <c r="W1398" s="2">
        <v>9</v>
      </c>
      <c r="X1398" s="2" t="s">
        <v>1756</v>
      </c>
      <c r="Y1398" s="2">
        <v>0</v>
      </c>
      <c r="Z1398" s="2">
        <v>9</v>
      </c>
      <c r="AA1398" s="2">
        <v>3</v>
      </c>
      <c r="AB1398" s="2">
        <v>1</v>
      </c>
      <c r="AC1398" s="2">
        <v>11</v>
      </c>
      <c r="AD1398" s="2">
        <v>7</v>
      </c>
      <c r="AE1398" s="2" t="s">
        <v>0</v>
      </c>
      <c r="AF1398" s="2">
        <v>2</v>
      </c>
      <c r="AG1398" s="2" t="s">
        <v>49</v>
      </c>
    </row>
    <row r="1399" spans="1:33" ht="76.5" x14ac:dyDescent="0.2">
      <c r="A1399" s="5" t="str">
        <f>HYPERLINK("http://www.patentics.cn/invokexml.do?sf=ShowPatent&amp;spn=US8649337&amp;sv=6a607f801168446f58ea9afba5b3a6d0","US8649337")</f>
        <v>US8649337</v>
      </c>
      <c r="B1399" s="3" t="s">
        <v>6425</v>
      </c>
      <c r="C1399" s="3" t="s">
        <v>6426</v>
      </c>
      <c r="D1399" s="3" t="s">
        <v>52</v>
      </c>
      <c r="E1399" s="3" t="s">
        <v>52</v>
      </c>
      <c r="F1399" s="3" t="s">
        <v>6427</v>
      </c>
      <c r="G1399" s="3" t="s">
        <v>1091</v>
      </c>
      <c r="H1399" s="3" t="s">
        <v>4250</v>
      </c>
      <c r="I1399" s="3" t="s">
        <v>6428</v>
      </c>
      <c r="J1399" s="3" t="s">
        <v>1349</v>
      </c>
      <c r="K1399" s="3" t="s">
        <v>82</v>
      </c>
      <c r="L1399" s="3" t="s">
        <v>83</v>
      </c>
      <c r="M1399" s="3" t="s">
        <v>82</v>
      </c>
      <c r="N1399" s="3" t="s">
        <v>5502</v>
      </c>
      <c r="O1399" s="3">
        <v>0</v>
      </c>
      <c r="P1399" s="3">
        <v>15</v>
      </c>
      <c r="Q1399" s="3" t="s">
        <v>60</v>
      </c>
      <c r="R1399" s="3" t="s">
        <v>61</v>
      </c>
      <c r="S1399" s="3">
        <v>32</v>
      </c>
      <c r="T1399" s="3">
        <v>2</v>
      </c>
      <c r="U1399" s="3">
        <v>30</v>
      </c>
      <c r="V1399" s="3">
        <v>14</v>
      </c>
      <c r="W1399" s="3">
        <v>0</v>
      </c>
      <c r="X1399" s="3" t="s">
        <v>147</v>
      </c>
      <c r="Y1399" s="3">
        <v>0</v>
      </c>
      <c r="Z1399" s="3">
        <v>0</v>
      </c>
      <c r="AA1399" s="3">
        <v>0</v>
      </c>
      <c r="AB1399" s="3">
        <v>0</v>
      </c>
      <c r="AC1399" s="3">
        <v>3</v>
      </c>
      <c r="AD1399" s="3">
        <v>3</v>
      </c>
      <c r="AE1399" s="3">
        <v>14</v>
      </c>
      <c r="AF1399" s="3" t="s">
        <v>0</v>
      </c>
      <c r="AG1399" s="3" t="s">
        <v>49</v>
      </c>
    </row>
    <row r="1400" spans="1:33" ht="114.75" x14ac:dyDescent="0.2">
      <c r="A1400" s="5" t="str">
        <f>HYPERLINK("http://www.patentics.cn/invokexml.do?sf=ShowPatent&amp;spn=US8855062&amp;sv=072fc9b280e4c417f82b72cb32855e72","US8855062")</f>
        <v>US8855062</v>
      </c>
      <c r="B1400" s="3" t="s">
        <v>5499</v>
      </c>
      <c r="C1400" s="3" t="s">
        <v>5500</v>
      </c>
      <c r="D1400" s="3" t="s">
        <v>52</v>
      </c>
      <c r="E1400" s="3" t="s">
        <v>52</v>
      </c>
      <c r="F1400" s="3" t="s">
        <v>5501</v>
      </c>
      <c r="G1400" s="3" t="s">
        <v>181</v>
      </c>
      <c r="H1400" s="3" t="s">
        <v>1229</v>
      </c>
      <c r="I1400" s="3" t="s">
        <v>1280</v>
      </c>
      <c r="J1400" s="3" t="s">
        <v>485</v>
      </c>
      <c r="K1400" s="3" t="s">
        <v>82</v>
      </c>
      <c r="L1400" s="3" t="s">
        <v>83</v>
      </c>
      <c r="M1400" s="3" t="s">
        <v>82</v>
      </c>
      <c r="N1400" s="3" t="s">
        <v>5502</v>
      </c>
      <c r="O1400" s="3">
        <v>0</v>
      </c>
      <c r="P1400" s="3">
        <v>13</v>
      </c>
      <c r="Q1400" s="3" t="s">
        <v>60</v>
      </c>
      <c r="R1400" s="3" t="s">
        <v>61</v>
      </c>
      <c r="S1400" s="3">
        <v>40</v>
      </c>
      <c r="T1400" s="3">
        <v>4</v>
      </c>
      <c r="U1400" s="3">
        <v>36</v>
      </c>
      <c r="V1400" s="3">
        <v>17</v>
      </c>
      <c r="W1400" s="3">
        <v>9</v>
      </c>
      <c r="X1400" s="3" t="s">
        <v>378</v>
      </c>
      <c r="Y1400" s="3">
        <v>0</v>
      </c>
      <c r="Z1400" s="3">
        <v>9</v>
      </c>
      <c r="AA1400" s="3">
        <v>1</v>
      </c>
      <c r="AB1400" s="3">
        <v>2</v>
      </c>
      <c r="AC1400" s="3">
        <v>19</v>
      </c>
      <c r="AD1400" s="3">
        <v>13</v>
      </c>
      <c r="AE1400" s="3">
        <v>14</v>
      </c>
      <c r="AF1400" s="3" t="s">
        <v>0</v>
      </c>
      <c r="AG1400" s="3" t="s">
        <v>49</v>
      </c>
    </row>
    <row r="1401" spans="1:33" ht="89.25" x14ac:dyDescent="0.2">
      <c r="A1401" s="4" t="str">
        <f>HYPERLINK("http://www.patentics.cn/invokexml.do?sf=ShowPatent&amp;spn=US20120076103&amp;sv=177c57a8ae364df464a5606e9530709c","US20120076103")</f>
        <v>US20120076103</v>
      </c>
      <c r="B1401" s="2" t="s">
        <v>6429</v>
      </c>
      <c r="C1401" s="2" t="s">
        <v>6430</v>
      </c>
      <c r="D1401" s="2" t="s">
        <v>346</v>
      </c>
      <c r="E1401" s="2" t="s">
        <v>346</v>
      </c>
      <c r="F1401" s="2" t="s">
        <v>6431</v>
      </c>
      <c r="G1401" s="2" t="s">
        <v>6432</v>
      </c>
      <c r="H1401" s="2" t="s">
        <v>1269</v>
      </c>
      <c r="I1401" s="2" t="s">
        <v>2898</v>
      </c>
      <c r="J1401" s="2" t="s">
        <v>6433</v>
      </c>
      <c r="K1401" s="2" t="s">
        <v>82</v>
      </c>
      <c r="L1401" s="2" t="s">
        <v>244</v>
      </c>
      <c r="M1401" s="2" t="s">
        <v>0</v>
      </c>
      <c r="N1401" s="2" t="s">
        <v>0</v>
      </c>
      <c r="O1401" s="2">
        <v>24</v>
      </c>
      <c r="P1401" s="2">
        <v>11</v>
      </c>
      <c r="Q1401" s="2" t="s">
        <v>352</v>
      </c>
      <c r="R1401" s="2" t="s">
        <v>47</v>
      </c>
      <c r="S1401" s="2">
        <v>0</v>
      </c>
      <c r="T1401" s="2">
        <v>0</v>
      </c>
      <c r="U1401" s="2">
        <v>0</v>
      </c>
      <c r="V1401" s="2">
        <v>0</v>
      </c>
      <c r="W1401" s="2">
        <v>49</v>
      </c>
      <c r="X1401" s="2" t="s">
        <v>6434</v>
      </c>
      <c r="Y1401" s="2">
        <v>0</v>
      </c>
      <c r="Z1401" s="2">
        <v>49</v>
      </c>
      <c r="AA1401" s="2">
        <v>4</v>
      </c>
      <c r="AB1401" s="2">
        <v>1</v>
      </c>
      <c r="AC1401" s="2">
        <v>4</v>
      </c>
      <c r="AD1401" s="2">
        <v>4</v>
      </c>
      <c r="AE1401" s="2" t="s">
        <v>0</v>
      </c>
      <c r="AF1401" s="2">
        <v>2</v>
      </c>
      <c r="AG1401" s="2" t="s">
        <v>49</v>
      </c>
    </row>
    <row r="1402" spans="1:33" ht="178.5" x14ac:dyDescent="0.2">
      <c r="A1402" s="5" t="str">
        <f>HYPERLINK("http://www.patentics.cn/invokexml.do?sf=ShowPatent&amp;spn=US9210717&amp;sv=255d5ab3e81bba819a85adbf728f91b1","US9210717")</f>
        <v>US9210717</v>
      </c>
      <c r="B1402" s="3" t="s">
        <v>6435</v>
      </c>
      <c r="C1402" s="3" t="s">
        <v>6436</v>
      </c>
      <c r="D1402" s="3" t="s">
        <v>52</v>
      </c>
      <c r="E1402" s="3" t="s">
        <v>52</v>
      </c>
      <c r="F1402" s="3" t="s">
        <v>6437</v>
      </c>
      <c r="G1402" s="3" t="s">
        <v>6438</v>
      </c>
      <c r="H1402" s="3" t="s">
        <v>2989</v>
      </c>
      <c r="I1402" s="3" t="s">
        <v>6439</v>
      </c>
      <c r="J1402" s="3" t="s">
        <v>283</v>
      </c>
      <c r="K1402" s="3" t="s">
        <v>43</v>
      </c>
      <c r="L1402" s="3" t="s">
        <v>57</v>
      </c>
      <c r="M1402" s="3" t="s">
        <v>82</v>
      </c>
      <c r="N1402" s="3" t="s">
        <v>6440</v>
      </c>
      <c r="O1402" s="3">
        <v>0</v>
      </c>
      <c r="P1402" s="3">
        <v>0</v>
      </c>
      <c r="Q1402" s="3" t="s">
        <v>60</v>
      </c>
      <c r="R1402" s="3" t="s">
        <v>61</v>
      </c>
      <c r="S1402" s="3">
        <v>10</v>
      </c>
      <c r="T1402" s="3">
        <v>0</v>
      </c>
      <c r="U1402" s="3">
        <v>10</v>
      </c>
      <c r="V1402" s="3">
        <v>5</v>
      </c>
      <c r="W1402" s="3">
        <v>0</v>
      </c>
      <c r="X1402" s="3" t="s">
        <v>147</v>
      </c>
      <c r="Y1402" s="3">
        <v>0</v>
      </c>
      <c r="Z1402" s="3">
        <v>0</v>
      </c>
      <c r="AA1402" s="3">
        <v>0</v>
      </c>
      <c r="AB1402" s="3">
        <v>0</v>
      </c>
      <c r="AC1402" s="3">
        <v>7</v>
      </c>
      <c r="AD1402" s="3">
        <v>7</v>
      </c>
      <c r="AE1402" s="3">
        <v>14</v>
      </c>
      <c r="AF1402" s="3" t="s">
        <v>0</v>
      </c>
      <c r="AG1402" s="3" t="s">
        <v>49</v>
      </c>
    </row>
    <row r="1403" spans="1:33" ht="102" x14ac:dyDescent="0.2">
      <c r="A1403" s="5" t="str">
        <f>HYPERLINK("http://www.patentics.cn/invokexml.do?sf=ShowPatent&amp;spn=US9264930&amp;sv=854743349c5361c33a99c80bafb42532","US9264930")</f>
        <v>US9264930</v>
      </c>
      <c r="B1403" s="3" t="s">
        <v>6441</v>
      </c>
      <c r="C1403" s="3" t="s">
        <v>6442</v>
      </c>
      <c r="D1403" s="3" t="s">
        <v>52</v>
      </c>
      <c r="E1403" s="3" t="s">
        <v>52</v>
      </c>
      <c r="F1403" s="3" t="s">
        <v>6443</v>
      </c>
      <c r="G1403" s="3" t="s">
        <v>6444</v>
      </c>
      <c r="H1403" s="3" t="s">
        <v>6445</v>
      </c>
      <c r="I1403" s="3" t="s">
        <v>93</v>
      </c>
      <c r="J1403" s="3" t="s">
        <v>664</v>
      </c>
      <c r="K1403" s="3" t="s">
        <v>82</v>
      </c>
      <c r="L1403" s="3" t="s">
        <v>2215</v>
      </c>
      <c r="M1403" s="3" t="s">
        <v>82</v>
      </c>
      <c r="N1403" s="3" t="s">
        <v>799</v>
      </c>
      <c r="O1403" s="3">
        <v>0</v>
      </c>
      <c r="P1403" s="3">
        <v>17</v>
      </c>
      <c r="Q1403" s="3" t="s">
        <v>60</v>
      </c>
      <c r="R1403" s="3" t="s">
        <v>61</v>
      </c>
      <c r="S1403" s="3">
        <v>16</v>
      </c>
      <c r="T1403" s="3">
        <v>0</v>
      </c>
      <c r="U1403" s="3">
        <v>16</v>
      </c>
      <c r="V1403" s="3">
        <v>7</v>
      </c>
      <c r="W1403" s="3">
        <v>6</v>
      </c>
      <c r="X1403" s="3" t="s">
        <v>147</v>
      </c>
      <c r="Y1403" s="3">
        <v>0</v>
      </c>
      <c r="Z1403" s="3">
        <v>6</v>
      </c>
      <c r="AA1403" s="3">
        <v>0</v>
      </c>
      <c r="AB1403" s="3">
        <v>1</v>
      </c>
      <c r="AC1403" s="3">
        <v>8</v>
      </c>
      <c r="AD1403" s="3">
        <v>6</v>
      </c>
      <c r="AE1403" s="3">
        <v>14</v>
      </c>
      <c r="AF1403" s="3" t="s">
        <v>0</v>
      </c>
      <c r="AG1403" s="3" t="s">
        <v>49</v>
      </c>
    </row>
    <row r="1404" spans="1:33" ht="38.25" x14ac:dyDescent="0.2">
      <c r="A1404" s="4" t="str">
        <f>HYPERLINK("http://www.patentics.cn/invokexml.do?sf=ShowPatent&amp;spn=US20120039250&amp;sv=20fab0f681007f018a4f29e6f98c0f85","US20120039250")</f>
        <v>US20120039250</v>
      </c>
      <c r="B1404" s="2" t="s">
        <v>6446</v>
      </c>
      <c r="C1404" s="2" t="s">
        <v>6447</v>
      </c>
      <c r="D1404" s="2" t="s">
        <v>346</v>
      </c>
      <c r="E1404" s="2" t="s">
        <v>346</v>
      </c>
      <c r="F1404" s="2" t="s">
        <v>6448</v>
      </c>
      <c r="G1404" s="2" t="s">
        <v>6449</v>
      </c>
      <c r="H1404" s="2" t="s">
        <v>6374</v>
      </c>
      <c r="I1404" s="2" t="s">
        <v>6374</v>
      </c>
      <c r="J1404" s="2" t="s">
        <v>2810</v>
      </c>
      <c r="K1404" s="2" t="s">
        <v>82</v>
      </c>
      <c r="L1404" s="2" t="s">
        <v>2544</v>
      </c>
      <c r="M1404" s="2" t="s">
        <v>0</v>
      </c>
      <c r="N1404" s="2" t="s">
        <v>0</v>
      </c>
      <c r="O1404" s="2">
        <v>11</v>
      </c>
      <c r="P1404" s="2">
        <v>14</v>
      </c>
      <c r="Q1404" s="2" t="s">
        <v>352</v>
      </c>
      <c r="R1404" s="2" t="s">
        <v>47</v>
      </c>
      <c r="S1404" s="2">
        <v>0</v>
      </c>
      <c r="T1404" s="2">
        <v>0</v>
      </c>
      <c r="U1404" s="2">
        <v>0</v>
      </c>
      <c r="V1404" s="2">
        <v>0</v>
      </c>
      <c r="W1404" s="2">
        <v>3</v>
      </c>
      <c r="X1404" s="2" t="s">
        <v>104</v>
      </c>
      <c r="Y1404" s="2">
        <v>0</v>
      </c>
      <c r="Z1404" s="2">
        <v>3</v>
      </c>
      <c r="AA1404" s="2">
        <v>2</v>
      </c>
      <c r="AB1404" s="2">
        <v>1</v>
      </c>
      <c r="AC1404" s="2">
        <v>6</v>
      </c>
      <c r="AD1404" s="2">
        <v>6</v>
      </c>
      <c r="AE1404" s="2" t="s">
        <v>0</v>
      </c>
      <c r="AF1404" s="2">
        <v>2</v>
      </c>
      <c r="AG1404" s="2" t="s">
        <v>2231</v>
      </c>
    </row>
    <row r="1405" spans="1:33" ht="102" x14ac:dyDescent="0.2">
      <c r="A1405" s="5" t="str">
        <f>HYPERLINK("http://www.patentics.cn/invokexml.do?sf=ShowPatent&amp;spn=US8520594&amp;sv=7c78ae79812726c74fca0b8ca154e422","US8520594")</f>
        <v>US8520594</v>
      </c>
      <c r="B1405" s="3" t="s">
        <v>6323</v>
      </c>
      <c r="C1405" s="3" t="s">
        <v>6324</v>
      </c>
      <c r="D1405" s="3" t="s">
        <v>52</v>
      </c>
      <c r="E1405" s="3" t="s">
        <v>52</v>
      </c>
      <c r="F1405" s="3" t="s">
        <v>6325</v>
      </c>
      <c r="G1405" s="3" t="s">
        <v>2239</v>
      </c>
      <c r="H1405" s="3" t="s">
        <v>5465</v>
      </c>
      <c r="I1405" s="3" t="s">
        <v>3728</v>
      </c>
      <c r="J1405" s="3" t="s">
        <v>6326</v>
      </c>
      <c r="K1405" s="3" t="s">
        <v>82</v>
      </c>
      <c r="L1405" s="3" t="s">
        <v>83</v>
      </c>
      <c r="M1405" s="3" t="s">
        <v>82</v>
      </c>
      <c r="N1405" s="3" t="s">
        <v>6327</v>
      </c>
      <c r="O1405" s="3">
        <v>0</v>
      </c>
      <c r="P1405" s="3">
        <v>11</v>
      </c>
      <c r="Q1405" s="3" t="s">
        <v>60</v>
      </c>
      <c r="R1405" s="3" t="s">
        <v>61</v>
      </c>
      <c r="S1405" s="3">
        <v>44</v>
      </c>
      <c r="T1405" s="3">
        <v>5</v>
      </c>
      <c r="U1405" s="3">
        <v>39</v>
      </c>
      <c r="V1405" s="3">
        <v>15</v>
      </c>
      <c r="W1405" s="3">
        <v>8</v>
      </c>
      <c r="X1405" s="3" t="s">
        <v>1351</v>
      </c>
      <c r="Y1405" s="3">
        <v>1</v>
      </c>
      <c r="Z1405" s="3">
        <v>7</v>
      </c>
      <c r="AA1405" s="3">
        <v>2</v>
      </c>
      <c r="AB1405" s="3">
        <v>2</v>
      </c>
      <c r="AC1405" s="3">
        <v>20</v>
      </c>
      <c r="AD1405" s="3">
        <v>7</v>
      </c>
      <c r="AE1405" s="3">
        <v>14</v>
      </c>
      <c r="AF1405" s="3" t="s">
        <v>0</v>
      </c>
      <c r="AG1405" s="3" t="s">
        <v>49</v>
      </c>
    </row>
    <row r="1406" spans="1:33" ht="76.5" x14ac:dyDescent="0.2">
      <c r="A1406" s="5" t="str">
        <f>HYPERLINK("http://www.patentics.cn/invokexml.do?sf=ShowPatent&amp;spn=US8731551&amp;sv=4e270e5593d6a50fe0385a2b9a854120","US8731551")</f>
        <v>US8731551</v>
      </c>
      <c r="B1406" s="3" t="s">
        <v>5462</v>
      </c>
      <c r="C1406" s="3" t="s">
        <v>5463</v>
      </c>
      <c r="D1406" s="3" t="s">
        <v>52</v>
      </c>
      <c r="E1406" s="3" t="s">
        <v>52</v>
      </c>
      <c r="F1406" s="3" t="s">
        <v>5464</v>
      </c>
      <c r="G1406" s="3" t="s">
        <v>3015</v>
      </c>
      <c r="H1406" s="3" t="s">
        <v>5465</v>
      </c>
      <c r="I1406" s="3" t="s">
        <v>3728</v>
      </c>
      <c r="J1406" s="3" t="s">
        <v>4687</v>
      </c>
      <c r="K1406" s="3" t="s">
        <v>82</v>
      </c>
      <c r="L1406" s="3" t="s">
        <v>83</v>
      </c>
      <c r="M1406" s="3" t="s">
        <v>58</v>
      </c>
      <c r="N1406" s="3" t="s">
        <v>5466</v>
      </c>
      <c r="O1406" s="3">
        <v>0</v>
      </c>
      <c r="P1406" s="3">
        <v>14</v>
      </c>
      <c r="Q1406" s="3" t="s">
        <v>60</v>
      </c>
      <c r="R1406" s="3" t="s">
        <v>61</v>
      </c>
      <c r="S1406" s="3">
        <v>54</v>
      </c>
      <c r="T1406" s="3">
        <v>7</v>
      </c>
      <c r="U1406" s="3">
        <v>47</v>
      </c>
      <c r="V1406" s="3">
        <v>16</v>
      </c>
      <c r="W1406" s="3">
        <v>8</v>
      </c>
      <c r="X1406" s="3" t="s">
        <v>378</v>
      </c>
      <c r="Y1406" s="3">
        <v>1</v>
      </c>
      <c r="Z1406" s="3">
        <v>7</v>
      </c>
      <c r="AA1406" s="3">
        <v>2</v>
      </c>
      <c r="AB1406" s="3">
        <v>2</v>
      </c>
      <c r="AC1406" s="3">
        <v>20</v>
      </c>
      <c r="AD1406" s="3">
        <v>7</v>
      </c>
      <c r="AE1406" s="3">
        <v>14</v>
      </c>
      <c r="AF1406" s="3" t="s">
        <v>0</v>
      </c>
      <c r="AG1406" s="3" t="s">
        <v>49</v>
      </c>
    </row>
    <row r="1407" spans="1:33" ht="51" x14ac:dyDescent="0.2">
      <c r="A1407" s="4" t="str">
        <f>HYPERLINK("http://www.patentics.cn/invokexml.do?sf=ShowPatent&amp;spn=US20120039240&amp;sv=26967de7bf83e7174dc2a7084fd9adc9","US20120039240")</f>
        <v>US20120039240</v>
      </c>
      <c r="B1407" s="2" t="s">
        <v>6450</v>
      </c>
      <c r="C1407" s="2" t="s">
        <v>6451</v>
      </c>
      <c r="D1407" s="2" t="s">
        <v>346</v>
      </c>
      <c r="E1407" s="2" t="s">
        <v>346</v>
      </c>
      <c r="F1407" s="2" t="s">
        <v>6452</v>
      </c>
      <c r="G1407" s="2" t="s">
        <v>3221</v>
      </c>
      <c r="H1407" s="2" t="s">
        <v>4170</v>
      </c>
      <c r="I1407" s="2" t="s">
        <v>1942</v>
      </c>
      <c r="J1407" s="2" t="s">
        <v>2810</v>
      </c>
      <c r="K1407" s="2" t="s">
        <v>84</v>
      </c>
      <c r="L1407" s="2" t="s">
        <v>278</v>
      </c>
      <c r="M1407" s="2" t="s">
        <v>0</v>
      </c>
      <c r="N1407" s="2" t="s">
        <v>0</v>
      </c>
      <c r="O1407" s="2">
        <v>14</v>
      </c>
      <c r="P1407" s="2">
        <v>23</v>
      </c>
      <c r="Q1407" s="2" t="s">
        <v>352</v>
      </c>
      <c r="R1407" s="2" t="s">
        <v>47</v>
      </c>
      <c r="S1407" s="2">
        <v>0</v>
      </c>
      <c r="T1407" s="2">
        <v>0</v>
      </c>
      <c r="U1407" s="2">
        <v>0</v>
      </c>
      <c r="V1407" s="2">
        <v>0</v>
      </c>
      <c r="W1407" s="2">
        <v>19</v>
      </c>
      <c r="X1407" s="2" t="s">
        <v>2356</v>
      </c>
      <c r="Y1407" s="2">
        <v>0</v>
      </c>
      <c r="Z1407" s="2">
        <v>19</v>
      </c>
      <c r="AA1407" s="2">
        <v>3</v>
      </c>
      <c r="AB1407" s="2">
        <v>3</v>
      </c>
      <c r="AC1407" s="2">
        <v>6</v>
      </c>
      <c r="AD1407" s="2">
        <v>4</v>
      </c>
      <c r="AE1407" s="2" t="s">
        <v>0</v>
      </c>
      <c r="AF1407" s="2">
        <v>2</v>
      </c>
      <c r="AG1407" s="2" t="s">
        <v>49</v>
      </c>
    </row>
    <row r="1408" spans="1:33" ht="102" x14ac:dyDescent="0.2">
      <c r="A1408" s="5" t="str">
        <f>HYPERLINK("http://www.patentics.cn/invokexml.do?sf=ShowPatent&amp;spn=US8867428&amp;sv=403d00cb89d800d05996122a174d7c66","US8867428")</f>
        <v>US8867428</v>
      </c>
      <c r="B1408" s="3" t="s">
        <v>6453</v>
      </c>
      <c r="C1408" s="3" t="s">
        <v>6454</v>
      </c>
      <c r="D1408" s="3" t="s">
        <v>52</v>
      </c>
      <c r="E1408" s="3" t="s">
        <v>52</v>
      </c>
      <c r="F1408" s="3" t="s">
        <v>6455</v>
      </c>
      <c r="G1408" s="3" t="s">
        <v>5334</v>
      </c>
      <c r="H1408" s="3" t="s">
        <v>6456</v>
      </c>
      <c r="I1408" s="3" t="s">
        <v>6457</v>
      </c>
      <c r="J1408" s="3" t="s">
        <v>4283</v>
      </c>
      <c r="K1408" s="3" t="s">
        <v>84</v>
      </c>
      <c r="L1408" s="3" t="s">
        <v>278</v>
      </c>
      <c r="M1408" s="3" t="s">
        <v>84</v>
      </c>
      <c r="N1408" s="3" t="s">
        <v>6458</v>
      </c>
      <c r="O1408" s="3">
        <v>0</v>
      </c>
      <c r="P1408" s="3">
        <v>15</v>
      </c>
      <c r="Q1408" s="3" t="s">
        <v>60</v>
      </c>
      <c r="R1408" s="3" t="s">
        <v>61</v>
      </c>
      <c r="S1408" s="3">
        <v>33</v>
      </c>
      <c r="T1408" s="3">
        <v>8</v>
      </c>
      <c r="U1408" s="3">
        <v>25</v>
      </c>
      <c r="V1408" s="3">
        <v>15</v>
      </c>
      <c r="W1408" s="3">
        <v>6</v>
      </c>
      <c r="X1408" s="3" t="s">
        <v>147</v>
      </c>
      <c r="Y1408" s="3">
        <v>0</v>
      </c>
      <c r="Z1408" s="3">
        <v>6</v>
      </c>
      <c r="AA1408" s="3">
        <v>0</v>
      </c>
      <c r="AB1408" s="3">
        <v>1</v>
      </c>
      <c r="AC1408" s="3">
        <v>21</v>
      </c>
      <c r="AD1408" s="3">
        <v>7</v>
      </c>
      <c r="AE1408" s="3">
        <v>14</v>
      </c>
      <c r="AF1408" s="3" t="s">
        <v>0</v>
      </c>
      <c r="AG1408" s="3" t="s">
        <v>49</v>
      </c>
    </row>
    <row r="1409" spans="1:33" ht="102" x14ac:dyDescent="0.2">
      <c r="A1409" s="5" t="str">
        <f>HYPERLINK("http://www.patentics.cn/invokexml.do?sf=ShowPatent&amp;spn=US9198112&amp;sv=5e7e16f024bef0084d94a892acdd6ab2","US9198112")</f>
        <v>US9198112</v>
      </c>
      <c r="B1409" s="3" t="s">
        <v>6459</v>
      </c>
      <c r="C1409" s="3" t="s">
        <v>6460</v>
      </c>
      <c r="D1409" s="3" t="s">
        <v>52</v>
      </c>
      <c r="E1409" s="3" t="s">
        <v>52</v>
      </c>
      <c r="F1409" s="3" t="s">
        <v>6461</v>
      </c>
      <c r="G1409" s="3" t="s">
        <v>5334</v>
      </c>
      <c r="H1409" s="3" t="s">
        <v>6456</v>
      </c>
      <c r="I1409" s="3" t="s">
        <v>1337</v>
      </c>
      <c r="J1409" s="3" t="s">
        <v>1856</v>
      </c>
      <c r="K1409" s="3" t="s">
        <v>82</v>
      </c>
      <c r="L1409" s="3" t="s">
        <v>6462</v>
      </c>
      <c r="M1409" s="3" t="s">
        <v>82</v>
      </c>
      <c r="N1409" s="3" t="s">
        <v>6463</v>
      </c>
      <c r="O1409" s="3">
        <v>0</v>
      </c>
      <c r="P1409" s="3">
        <v>13</v>
      </c>
      <c r="Q1409" s="3" t="s">
        <v>60</v>
      </c>
      <c r="R1409" s="3" t="s">
        <v>61</v>
      </c>
      <c r="S1409" s="3">
        <v>39</v>
      </c>
      <c r="T1409" s="3">
        <v>8</v>
      </c>
      <c r="U1409" s="3">
        <v>31</v>
      </c>
      <c r="V1409" s="3">
        <v>17</v>
      </c>
      <c r="W1409" s="3">
        <v>6</v>
      </c>
      <c r="X1409" s="3" t="s">
        <v>147</v>
      </c>
      <c r="Y1409" s="3">
        <v>0</v>
      </c>
      <c r="Z1409" s="3">
        <v>6</v>
      </c>
      <c r="AA1409" s="3">
        <v>0</v>
      </c>
      <c r="AB1409" s="3">
        <v>1</v>
      </c>
      <c r="AC1409" s="3">
        <v>21</v>
      </c>
      <c r="AD1409" s="3">
        <v>7</v>
      </c>
      <c r="AE1409" s="3">
        <v>14</v>
      </c>
      <c r="AF1409" s="3" t="s">
        <v>0</v>
      </c>
      <c r="AG1409" s="3" t="s">
        <v>49</v>
      </c>
    </row>
    <row r="1410" spans="1:33" ht="25.5" x14ac:dyDescent="0.2">
      <c r="A1410" s="4" t="str">
        <f>HYPERLINK("http://www.patentics.cn/invokexml.do?sf=ShowPatent&amp;spn=US20110292899&amp;sv=229b6be6f1dd929b9e6f13370cb911f6","US20110292899")</f>
        <v>US20110292899</v>
      </c>
      <c r="B1410" s="2" t="s">
        <v>6464</v>
      </c>
      <c r="C1410" s="2" t="s">
        <v>6465</v>
      </c>
      <c r="D1410" s="2" t="s">
        <v>346</v>
      </c>
      <c r="E1410" s="2" t="s">
        <v>346</v>
      </c>
      <c r="F1410" s="2" t="s">
        <v>6466</v>
      </c>
      <c r="G1410" s="2" t="s">
        <v>6467</v>
      </c>
      <c r="H1410" s="2" t="s">
        <v>1804</v>
      </c>
      <c r="I1410" s="2" t="s">
        <v>2108</v>
      </c>
      <c r="J1410" s="2" t="s">
        <v>4473</v>
      </c>
      <c r="K1410" s="2" t="s">
        <v>82</v>
      </c>
      <c r="L1410" s="2" t="s">
        <v>5337</v>
      </c>
      <c r="M1410" s="2" t="s">
        <v>0</v>
      </c>
      <c r="N1410" s="2" t="s">
        <v>0</v>
      </c>
      <c r="O1410" s="2">
        <v>20</v>
      </c>
      <c r="P1410" s="2">
        <v>18</v>
      </c>
      <c r="Q1410" s="2" t="s">
        <v>352</v>
      </c>
      <c r="R1410" s="2" t="s">
        <v>47</v>
      </c>
      <c r="S1410" s="2">
        <v>0</v>
      </c>
      <c r="T1410" s="2">
        <v>0</v>
      </c>
      <c r="U1410" s="2">
        <v>0</v>
      </c>
      <c r="V1410" s="2">
        <v>0</v>
      </c>
      <c r="W1410" s="2">
        <v>2</v>
      </c>
      <c r="X1410" s="2" t="s">
        <v>378</v>
      </c>
      <c r="Y1410" s="2">
        <v>0</v>
      </c>
      <c r="Z1410" s="2">
        <v>2</v>
      </c>
      <c r="AA1410" s="2">
        <v>1</v>
      </c>
      <c r="AB1410" s="2">
        <v>1</v>
      </c>
      <c r="AC1410" s="2">
        <v>4</v>
      </c>
      <c r="AD1410" s="2">
        <v>3</v>
      </c>
      <c r="AE1410" s="2" t="s">
        <v>0</v>
      </c>
      <c r="AF1410" s="2">
        <v>2</v>
      </c>
      <c r="AG1410" s="2" t="s">
        <v>49</v>
      </c>
    </row>
    <row r="1411" spans="1:33" ht="63.75" x14ac:dyDescent="0.2">
      <c r="A1411" s="5" t="str">
        <f>HYPERLINK("http://www.patentics.cn/invokexml.do?sf=ShowPatent&amp;spn=US9215663&amp;sv=b41d3a0961b599beef63c2d984e45c70","US9215663")</f>
        <v>US9215663</v>
      </c>
      <c r="B1411" s="3" t="s">
        <v>6468</v>
      </c>
      <c r="C1411" s="3" t="s">
        <v>6469</v>
      </c>
      <c r="D1411" s="3" t="s">
        <v>52</v>
      </c>
      <c r="E1411" s="3" t="s">
        <v>52</v>
      </c>
      <c r="F1411" s="3" t="s">
        <v>6470</v>
      </c>
      <c r="G1411" s="3" t="s">
        <v>2151</v>
      </c>
      <c r="H1411" s="3" t="s">
        <v>3398</v>
      </c>
      <c r="I1411" s="3" t="s">
        <v>6471</v>
      </c>
      <c r="J1411" s="3" t="s">
        <v>2568</v>
      </c>
      <c r="K1411" s="3" t="s">
        <v>82</v>
      </c>
      <c r="L1411" s="3" t="s">
        <v>83</v>
      </c>
      <c r="M1411" s="3" t="s">
        <v>82</v>
      </c>
      <c r="N1411" s="3" t="s">
        <v>459</v>
      </c>
      <c r="O1411" s="3">
        <v>0</v>
      </c>
      <c r="P1411" s="3">
        <v>17</v>
      </c>
      <c r="Q1411" s="3" t="s">
        <v>60</v>
      </c>
      <c r="R1411" s="3" t="s">
        <v>61</v>
      </c>
      <c r="S1411" s="3">
        <v>33</v>
      </c>
      <c r="T1411" s="3">
        <v>8</v>
      </c>
      <c r="U1411" s="3">
        <v>25</v>
      </c>
      <c r="V1411" s="3">
        <v>17</v>
      </c>
      <c r="W1411" s="3">
        <v>0</v>
      </c>
      <c r="X1411" s="3" t="s">
        <v>147</v>
      </c>
      <c r="Y1411" s="3">
        <v>0</v>
      </c>
      <c r="Z1411" s="3">
        <v>0</v>
      </c>
      <c r="AA1411" s="3">
        <v>0</v>
      </c>
      <c r="AB1411" s="3">
        <v>0</v>
      </c>
      <c r="AC1411" s="3">
        <v>2</v>
      </c>
      <c r="AD1411" s="3">
        <v>2</v>
      </c>
      <c r="AE1411" s="3">
        <v>14</v>
      </c>
      <c r="AF1411" s="3" t="s">
        <v>0</v>
      </c>
      <c r="AG1411" s="3" t="s">
        <v>49</v>
      </c>
    </row>
    <row r="1412" spans="1:33" ht="63.75" x14ac:dyDescent="0.2">
      <c r="A1412" s="5" t="str">
        <f>HYPERLINK("http://www.patentics.cn/invokexml.do?sf=ShowPatent&amp;spn=US9380539&amp;sv=b68229fd6f0c08c4b349b26a18eb6574","US9380539")</f>
        <v>US9380539</v>
      </c>
      <c r="B1412" s="3" t="s">
        <v>6472</v>
      </c>
      <c r="C1412" s="3" t="s">
        <v>6473</v>
      </c>
      <c r="D1412" s="3" t="s">
        <v>52</v>
      </c>
      <c r="E1412" s="3" t="s">
        <v>52</v>
      </c>
      <c r="F1412" s="3" t="s">
        <v>6474</v>
      </c>
      <c r="G1412" s="3" t="s">
        <v>6475</v>
      </c>
      <c r="H1412" s="3" t="s">
        <v>1544</v>
      </c>
      <c r="I1412" s="3" t="s">
        <v>1760</v>
      </c>
      <c r="J1412" s="3" t="s">
        <v>704</v>
      </c>
      <c r="K1412" s="3" t="s">
        <v>84</v>
      </c>
      <c r="L1412" s="3" t="s">
        <v>163</v>
      </c>
      <c r="M1412" s="3" t="s">
        <v>82</v>
      </c>
      <c r="N1412" s="3" t="s">
        <v>785</v>
      </c>
      <c r="O1412" s="3">
        <v>0</v>
      </c>
      <c r="P1412" s="3">
        <v>6</v>
      </c>
      <c r="Q1412" s="3" t="s">
        <v>60</v>
      </c>
      <c r="R1412" s="3" t="s">
        <v>61</v>
      </c>
      <c r="S1412" s="3">
        <v>11</v>
      </c>
      <c r="T1412" s="3">
        <v>0</v>
      </c>
      <c r="U1412" s="3">
        <v>11</v>
      </c>
      <c r="V1412" s="3">
        <v>8</v>
      </c>
      <c r="W1412" s="3">
        <v>0</v>
      </c>
      <c r="X1412" s="3" t="s">
        <v>147</v>
      </c>
      <c r="Y1412" s="3">
        <v>0</v>
      </c>
      <c r="Z1412" s="3">
        <v>0</v>
      </c>
      <c r="AA1412" s="3">
        <v>0</v>
      </c>
      <c r="AB1412" s="3">
        <v>0</v>
      </c>
      <c r="AC1412" s="3">
        <v>3</v>
      </c>
      <c r="AD1412" s="3">
        <v>3</v>
      </c>
      <c r="AE1412" s="3">
        <v>14</v>
      </c>
      <c r="AF1412" s="3" t="s">
        <v>0</v>
      </c>
      <c r="AG1412" s="3" t="s">
        <v>49</v>
      </c>
    </row>
    <row r="1413" spans="1:33" ht="38.25" x14ac:dyDescent="0.2">
      <c r="A1413" s="4" t="str">
        <f>HYPERLINK("http://www.patentics.cn/invokexml.do?sf=ShowPatent&amp;spn=US20110237251&amp;sv=5702255bdde65d198d2c980efa4bca2e","US20110237251")</f>
        <v>US20110237251</v>
      </c>
      <c r="B1413" s="2" t="s">
        <v>6476</v>
      </c>
      <c r="C1413" s="2" t="s">
        <v>6477</v>
      </c>
      <c r="D1413" s="2" t="s">
        <v>346</v>
      </c>
      <c r="E1413" s="2" t="s">
        <v>346</v>
      </c>
      <c r="F1413" s="2" t="s">
        <v>6478</v>
      </c>
      <c r="G1413" s="2" t="s">
        <v>6479</v>
      </c>
      <c r="H1413" s="2" t="s">
        <v>6480</v>
      </c>
      <c r="I1413" s="2" t="s">
        <v>6481</v>
      </c>
      <c r="J1413" s="2" t="s">
        <v>4596</v>
      </c>
      <c r="K1413" s="2" t="s">
        <v>82</v>
      </c>
      <c r="L1413" s="2" t="s">
        <v>827</v>
      </c>
      <c r="M1413" s="2" t="s">
        <v>0</v>
      </c>
      <c r="N1413" s="2" t="s">
        <v>0</v>
      </c>
      <c r="O1413" s="2">
        <v>25</v>
      </c>
      <c r="P1413" s="2">
        <v>17</v>
      </c>
      <c r="Q1413" s="2" t="s">
        <v>352</v>
      </c>
      <c r="R1413" s="2" t="s">
        <v>61</v>
      </c>
      <c r="S1413" s="2">
        <v>0</v>
      </c>
      <c r="T1413" s="2">
        <v>0</v>
      </c>
      <c r="U1413" s="2">
        <v>0</v>
      </c>
      <c r="V1413" s="2">
        <v>0</v>
      </c>
      <c r="W1413" s="2">
        <v>3</v>
      </c>
      <c r="X1413" s="2" t="s">
        <v>523</v>
      </c>
      <c r="Y1413" s="2">
        <v>0</v>
      </c>
      <c r="Z1413" s="2">
        <v>3</v>
      </c>
      <c r="AA1413" s="2">
        <v>2</v>
      </c>
      <c r="AB1413" s="2">
        <v>1</v>
      </c>
      <c r="AC1413" s="2">
        <v>1</v>
      </c>
      <c r="AD1413" s="2">
        <v>2</v>
      </c>
      <c r="AE1413" s="2" t="s">
        <v>0</v>
      </c>
      <c r="AF1413" s="2">
        <v>2</v>
      </c>
      <c r="AG1413" s="2" t="s">
        <v>2231</v>
      </c>
    </row>
    <row r="1414" spans="1:33" ht="102" x14ac:dyDescent="0.2">
      <c r="A1414" s="5" t="str">
        <f>HYPERLINK("http://www.patentics.cn/invokexml.do?sf=ShowPatent&amp;spn=US9295030&amp;sv=e541b967b0c01d1403c3111c97e9ad71","US9295030")</f>
        <v>US9295030</v>
      </c>
      <c r="B1414" s="3" t="s">
        <v>6482</v>
      </c>
      <c r="C1414" s="3" t="s">
        <v>6483</v>
      </c>
      <c r="D1414" s="3" t="s">
        <v>52</v>
      </c>
      <c r="E1414" s="3" t="s">
        <v>52</v>
      </c>
      <c r="F1414" s="3" t="s">
        <v>6484</v>
      </c>
      <c r="G1414" s="3" t="s">
        <v>1079</v>
      </c>
      <c r="H1414" s="3" t="s">
        <v>3559</v>
      </c>
      <c r="I1414" s="3" t="s">
        <v>2394</v>
      </c>
      <c r="J1414" s="3" t="s">
        <v>696</v>
      </c>
      <c r="K1414" s="3" t="s">
        <v>82</v>
      </c>
      <c r="L1414" s="3" t="s">
        <v>1444</v>
      </c>
      <c r="M1414" s="3" t="s">
        <v>82</v>
      </c>
      <c r="N1414" s="3" t="s">
        <v>1473</v>
      </c>
      <c r="O1414" s="3">
        <v>0</v>
      </c>
      <c r="P1414" s="3">
        <v>10</v>
      </c>
      <c r="Q1414" s="3" t="s">
        <v>60</v>
      </c>
      <c r="R1414" s="3" t="s">
        <v>61</v>
      </c>
      <c r="S1414" s="3">
        <v>63</v>
      </c>
      <c r="T1414" s="3">
        <v>5</v>
      </c>
      <c r="U1414" s="3">
        <v>58</v>
      </c>
      <c r="V1414" s="3">
        <v>24</v>
      </c>
      <c r="W1414" s="3">
        <v>0</v>
      </c>
      <c r="X1414" s="3" t="s">
        <v>147</v>
      </c>
      <c r="Y1414" s="3">
        <v>0</v>
      </c>
      <c r="Z1414" s="3">
        <v>0</v>
      </c>
      <c r="AA1414" s="3">
        <v>0</v>
      </c>
      <c r="AB1414" s="3">
        <v>0</v>
      </c>
      <c r="AC1414" s="3">
        <v>19</v>
      </c>
      <c r="AD1414" s="3">
        <v>8</v>
      </c>
      <c r="AE1414" s="3">
        <v>14</v>
      </c>
      <c r="AF1414" s="3" t="s">
        <v>0</v>
      </c>
      <c r="AG1414" s="3" t="s">
        <v>49</v>
      </c>
    </row>
    <row r="1415" spans="1:33" ht="102" x14ac:dyDescent="0.2">
      <c r="A1415" s="5" t="str">
        <f>HYPERLINK("http://www.patentics.cn/invokexml.do?sf=ShowPatent&amp;spn=US9320013&amp;sv=f54b64ff219b22a1ae032d45a862e594","US9320013")</f>
        <v>US9320013</v>
      </c>
      <c r="B1415" s="3" t="s">
        <v>6485</v>
      </c>
      <c r="C1415" s="3" t="s">
        <v>6483</v>
      </c>
      <c r="D1415" s="3" t="s">
        <v>52</v>
      </c>
      <c r="E1415" s="3" t="s">
        <v>52</v>
      </c>
      <c r="F1415" s="3" t="s">
        <v>6484</v>
      </c>
      <c r="G1415" s="3" t="s">
        <v>1079</v>
      </c>
      <c r="H1415" s="3" t="s">
        <v>3559</v>
      </c>
      <c r="I1415" s="3" t="s">
        <v>2394</v>
      </c>
      <c r="J1415" s="3" t="s">
        <v>699</v>
      </c>
      <c r="K1415" s="3" t="s">
        <v>82</v>
      </c>
      <c r="L1415" s="3" t="s">
        <v>827</v>
      </c>
      <c r="M1415" s="3" t="s">
        <v>82</v>
      </c>
      <c r="N1415" s="3" t="s">
        <v>1473</v>
      </c>
      <c r="O1415" s="3">
        <v>0</v>
      </c>
      <c r="P1415" s="3">
        <v>7</v>
      </c>
      <c r="Q1415" s="3" t="s">
        <v>60</v>
      </c>
      <c r="R1415" s="3" t="s">
        <v>61</v>
      </c>
      <c r="S1415" s="3">
        <v>64</v>
      </c>
      <c r="T1415" s="3">
        <v>5</v>
      </c>
      <c r="U1415" s="3">
        <v>59</v>
      </c>
      <c r="V1415" s="3">
        <v>24</v>
      </c>
      <c r="W1415" s="3">
        <v>0</v>
      </c>
      <c r="X1415" s="3" t="s">
        <v>147</v>
      </c>
      <c r="Y1415" s="3">
        <v>0</v>
      </c>
      <c r="Z1415" s="3">
        <v>0</v>
      </c>
      <c r="AA1415" s="3">
        <v>0</v>
      </c>
      <c r="AB1415" s="3">
        <v>0</v>
      </c>
      <c r="AC1415" s="3">
        <v>19</v>
      </c>
      <c r="AD1415" s="3">
        <v>8</v>
      </c>
      <c r="AE1415" s="3">
        <v>14</v>
      </c>
      <c r="AF1415" s="3" t="s">
        <v>0</v>
      </c>
      <c r="AG1415" s="3" t="s">
        <v>49</v>
      </c>
    </row>
    <row r="1416" spans="1:33" ht="51" x14ac:dyDescent="0.2">
      <c r="A1416" s="4" t="str">
        <f>HYPERLINK("http://www.patentics.cn/invokexml.do?sf=ShowPatent&amp;spn=US20110134829&amp;sv=3dbf337fb4e6a2d836aef944f1b411ec","US20110134829")</f>
        <v>US20110134829</v>
      </c>
      <c r="B1416" s="2" t="s">
        <v>6486</v>
      </c>
      <c r="C1416" s="2" t="s">
        <v>6487</v>
      </c>
      <c r="D1416" s="2" t="s">
        <v>346</v>
      </c>
      <c r="E1416" s="2" t="s">
        <v>346</v>
      </c>
      <c r="F1416" s="2" t="s">
        <v>6488</v>
      </c>
      <c r="G1416" s="2" t="s">
        <v>6489</v>
      </c>
      <c r="H1416" s="2" t="s">
        <v>4924</v>
      </c>
      <c r="I1416" s="2" t="s">
        <v>4925</v>
      </c>
      <c r="J1416" s="2" t="s">
        <v>4912</v>
      </c>
      <c r="K1416" s="2" t="s">
        <v>82</v>
      </c>
      <c r="L1416" s="2" t="s">
        <v>2544</v>
      </c>
      <c r="M1416" s="2" t="s">
        <v>0</v>
      </c>
      <c r="N1416" s="2" t="s">
        <v>0</v>
      </c>
      <c r="O1416" s="2">
        <v>9</v>
      </c>
      <c r="P1416" s="2">
        <v>14</v>
      </c>
      <c r="Q1416" s="2" t="s">
        <v>352</v>
      </c>
      <c r="R1416" s="2" t="s">
        <v>47</v>
      </c>
      <c r="S1416" s="2">
        <v>0</v>
      </c>
      <c r="T1416" s="2">
        <v>0</v>
      </c>
      <c r="U1416" s="2">
        <v>0</v>
      </c>
      <c r="V1416" s="2">
        <v>0</v>
      </c>
      <c r="W1416" s="2">
        <v>9</v>
      </c>
      <c r="X1416" s="2" t="s">
        <v>2356</v>
      </c>
      <c r="Y1416" s="2">
        <v>2</v>
      </c>
      <c r="Z1416" s="2">
        <v>7</v>
      </c>
      <c r="AA1416" s="2">
        <v>6</v>
      </c>
      <c r="AB1416" s="2">
        <v>1</v>
      </c>
      <c r="AC1416" s="2">
        <v>11</v>
      </c>
      <c r="AD1416" s="2">
        <v>6</v>
      </c>
      <c r="AE1416" s="2" t="s">
        <v>0</v>
      </c>
      <c r="AF1416" s="2">
        <v>2</v>
      </c>
      <c r="AG1416" s="2" t="s">
        <v>49</v>
      </c>
    </row>
    <row r="1417" spans="1:33" ht="51" x14ac:dyDescent="0.2">
      <c r="A1417" s="5" t="str">
        <f>HYPERLINK("http://www.patentics.cn/invokexml.do?sf=ShowPatent&amp;spn=US9369242&amp;sv=affef73c91cd9ca08243a00514a9f0e8","US9369242")</f>
        <v>US9369242</v>
      </c>
      <c r="B1417" s="3" t="s">
        <v>6490</v>
      </c>
      <c r="C1417" s="3" t="s">
        <v>6491</v>
      </c>
      <c r="D1417" s="3" t="s">
        <v>52</v>
      </c>
      <c r="E1417" s="3" t="s">
        <v>52</v>
      </c>
      <c r="F1417" s="3" t="s">
        <v>4441</v>
      </c>
      <c r="G1417" s="3" t="s">
        <v>3572</v>
      </c>
      <c r="H1417" s="3" t="s">
        <v>6492</v>
      </c>
      <c r="I1417" s="3" t="s">
        <v>6492</v>
      </c>
      <c r="J1417" s="3" t="s">
        <v>2829</v>
      </c>
      <c r="K1417" s="3" t="s">
        <v>58</v>
      </c>
      <c r="L1417" s="3" t="s">
        <v>2734</v>
      </c>
      <c r="M1417" s="3" t="s">
        <v>58</v>
      </c>
      <c r="N1417" s="3" t="s">
        <v>4181</v>
      </c>
      <c r="O1417" s="3">
        <v>0</v>
      </c>
      <c r="P1417" s="3">
        <v>14</v>
      </c>
      <c r="Q1417" s="3" t="s">
        <v>60</v>
      </c>
      <c r="R1417" s="3" t="s">
        <v>61</v>
      </c>
      <c r="S1417" s="3">
        <v>11</v>
      </c>
      <c r="T1417" s="3">
        <v>2</v>
      </c>
      <c r="U1417" s="3">
        <v>9</v>
      </c>
      <c r="V1417" s="3">
        <v>8</v>
      </c>
      <c r="W1417" s="3">
        <v>0</v>
      </c>
      <c r="X1417" s="3" t="s">
        <v>147</v>
      </c>
      <c r="Y1417" s="3">
        <v>0</v>
      </c>
      <c r="Z1417" s="3">
        <v>0</v>
      </c>
      <c r="AA1417" s="3">
        <v>0</v>
      </c>
      <c r="AB1417" s="3">
        <v>0</v>
      </c>
      <c r="AC1417" s="3">
        <v>4</v>
      </c>
      <c r="AD1417" s="3">
        <v>4</v>
      </c>
      <c r="AE1417" s="3">
        <v>14</v>
      </c>
      <c r="AF1417" s="3" t="s">
        <v>0</v>
      </c>
      <c r="AG1417" s="3" t="s">
        <v>49</v>
      </c>
    </row>
    <row r="1418" spans="1:33" ht="102" x14ac:dyDescent="0.2">
      <c r="A1418" s="5" t="str">
        <f>HYPERLINK("http://www.patentics.cn/invokexml.do?sf=ShowPatent&amp;spn=US9369926&amp;sv=7c24d2c84c3d0bac88c602865d22b427","US9369926")</f>
        <v>US9369926</v>
      </c>
      <c r="B1418" s="3" t="s">
        <v>6493</v>
      </c>
      <c r="C1418" s="3" t="s">
        <v>6494</v>
      </c>
      <c r="D1418" s="3" t="s">
        <v>52</v>
      </c>
      <c r="E1418" s="3" t="s">
        <v>52</v>
      </c>
      <c r="F1418" s="3" t="s">
        <v>6495</v>
      </c>
      <c r="G1418" s="3" t="s">
        <v>6475</v>
      </c>
      <c r="H1418" s="3" t="s">
        <v>4820</v>
      </c>
      <c r="I1418" s="3" t="s">
        <v>6496</v>
      </c>
      <c r="J1418" s="3" t="s">
        <v>2829</v>
      </c>
      <c r="K1418" s="3" t="s">
        <v>82</v>
      </c>
      <c r="L1418" s="3" t="s">
        <v>177</v>
      </c>
      <c r="M1418" s="3" t="s">
        <v>82</v>
      </c>
      <c r="N1418" s="3" t="s">
        <v>3421</v>
      </c>
      <c r="O1418" s="3">
        <v>0</v>
      </c>
      <c r="P1418" s="3">
        <v>25</v>
      </c>
      <c r="Q1418" s="3" t="s">
        <v>60</v>
      </c>
      <c r="R1418" s="3" t="s">
        <v>61</v>
      </c>
      <c r="S1418" s="3">
        <v>16</v>
      </c>
      <c r="T1418" s="3">
        <v>3</v>
      </c>
      <c r="U1418" s="3">
        <v>13</v>
      </c>
      <c r="V1418" s="3">
        <v>11</v>
      </c>
      <c r="W1418" s="3">
        <v>0</v>
      </c>
      <c r="X1418" s="3" t="s">
        <v>147</v>
      </c>
      <c r="Y1418" s="3">
        <v>0</v>
      </c>
      <c r="Z1418" s="3">
        <v>0</v>
      </c>
      <c r="AA1418" s="3">
        <v>0</v>
      </c>
      <c r="AB1418" s="3">
        <v>0</v>
      </c>
      <c r="AC1418" s="3">
        <v>3</v>
      </c>
      <c r="AD1418" s="3">
        <v>3</v>
      </c>
      <c r="AE1418" s="3">
        <v>14</v>
      </c>
      <c r="AF1418" s="3" t="s">
        <v>0</v>
      </c>
      <c r="AG1418" s="3" t="s">
        <v>49</v>
      </c>
    </row>
    <row r="1419" spans="1:33" ht="51" x14ac:dyDescent="0.2">
      <c r="A1419" s="4" t="str">
        <f>HYPERLINK("http://www.patentics.cn/invokexml.do?sf=ShowPatent&amp;spn=US20110117905&amp;sv=06028c57d8bfaf605b16b965624ce37d","US20110117905")</f>
        <v>US20110117905</v>
      </c>
      <c r="B1419" s="2" t="s">
        <v>6497</v>
      </c>
      <c r="C1419" s="2" t="s">
        <v>6498</v>
      </c>
      <c r="D1419" s="2" t="s">
        <v>346</v>
      </c>
      <c r="E1419" s="2" t="s">
        <v>346</v>
      </c>
      <c r="F1419" s="2" t="s">
        <v>6499</v>
      </c>
      <c r="G1419" s="2" t="s">
        <v>6500</v>
      </c>
      <c r="H1419" s="2" t="s">
        <v>2616</v>
      </c>
      <c r="I1419" s="2" t="s">
        <v>5197</v>
      </c>
      <c r="J1419" s="2" t="s">
        <v>1199</v>
      </c>
      <c r="K1419" s="2" t="s">
        <v>82</v>
      </c>
      <c r="L1419" s="2" t="s">
        <v>806</v>
      </c>
      <c r="M1419" s="2" t="s">
        <v>0</v>
      </c>
      <c r="N1419" s="2" t="s">
        <v>0</v>
      </c>
      <c r="O1419" s="2">
        <v>8</v>
      </c>
      <c r="P1419" s="2">
        <v>8</v>
      </c>
      <c r="Q1419" s="2" t="s">
        <v>352</v>
      </c>
      <c r="R1419" s="2" t="s">
        <v>47</v>
      </c>
      <c r="S1419" s="2">
        <v>0</v>
      </c>
      <c r="T1419" s="2">
        <v>0</v>
      </c>
      <c r="U1419" s="2">
        <v>0</v>
      </c>
      <c r="V1419" s="2">
        <v>0</v>
      </c>
      <c r="W1419" s="2">
        <v>12</v>
      </c>
      <c r="X1419" s="2" t="s">
        <v>6501</v>
      </c>
      <c r="Y1419" s="2">
        <v>0</v>
      </c>
      <c r="Z1419" s="2">
        <v>12</v>
      </c>
      <c r="AA1419" s="2">
        <v>8</v>
      </c>
      <c r="AB1419" s="2">
        <v>2</v>
      </c>
      <c r="AC1419" s="2">
        <v>5</v>
      </c>
      <c r="AD1419" s="2">
        <v>4</v>
      </c>
      <c r="AE1419" s="2" t="s">
        <v>0</v>
      </c>
      <c r="AF1419" s="2">
        <v>2</v>
      </c>
      <c r="AG1419" s="2" t="s">
        <v>49</v>
      </c>
    </row>
    <row r="1420" spans="1:33" ht="102" x14ac:dyDescent="0.2">
      <c r="A1420" s="5" t="str">
        <f>HYPERLINK("http://www.patentics.cn/invokexml.do?sf=ShowPatent&amp;spn=US9161380&amp;sv=58cb628b8a2cc67d29be80d06df66f99","US9161380")</f>
        <v>US9161380</v>
      </c>
      <c r="B1420" s="3" t="s">
        <v>6502</v>
      </c>
      <c r="C1420" s="3" t="s">
        <v>6503</v>
      </c>
      <c r="D1420" s="3" t="s">
        <v>52</v>
      </c>
      <c r="E1420" s="3" t="s">
        <v>52</v>
      </c>
      <c r="F1420" s="3" t="s">
        <v>6504</v>
      </c>
      <c r="G1420" s="3" t="s">
        <v>6505</v>
      </c>
      <c r="H1420" s="3" t="s">
        <v>6506</v>
      </c>
      <c r="I1420" s="3" t="s">
        <v>4156</v>
      </c>
      <c r="J1420" s="3" t="s">
        <v>830</v>
      </c>
      <c r="K1420" s="3" t="s">
        <v>82</v>
      </c>
      <c r="L1420" s="3" t="s">
        <v>2015</v>
      </c>
      <c r="M1420" s="3" t="s">
        <v>82</v>
      </c>
      <c r="N1420" s="3" t="s">
        <v>3545</v>
      </c>
      <c r="O1420" s="3">
        <v>0</v>
      </c>
      <c r="P1420" s="3">
        <v>7</v>
      </c>
      <c r="Q1420" s="3" t="s">
        <v>60</v>
      </c>
      <c r="R1420" s="3" t="s">
        <v>61</v>
      </c>
      <c r="S1420" s="3">
        <v>12</v>
      </c>
      <c r="T1420" s="3">
        <v>6</v>
      </c>
      <c r="U1420" s="3">
        <v>6</v>
      </c>
      <c r="V1420" s="3">
        <v>4</v>
      </c>
      <c r="W1420" s="3">
        <v>1</v>
      </c>
      <c r="X1420" s="3" t="s">
        <v>5030</v>
      </c>
      <c r="Y1420" s="3">
        <v>1</v>
      </c>
      <c r="Z1420" s="3">
        <v>0</v>
      </c>
      <c r="AA1420" s="3">
        <v>1</v>
      </c>
      <c r="AB1420" s="3">
        <v>1</v>
      </c>
      <c r="AC1420" s="3">
        <v>21</v>
      </c>
      <c r="AD1420" s="3">
        <v>10</v>
      </c>
      <c r="AE1420" s="3">
        <v>14</v>
      </c>
      <c r="AF1420" s="3" t="s">
        <v>0</v>
      </c>
      <c r="AG1420" s="3" t="s">
        <v>49</v>
      </c>
    </row>
    <row r="1421" spans="1:33" ht="102" x14ac:dyDescent="0.2">
      <c r="A1421" s="5" t="str">
        <f>HYPERLINK("http://www.patentics.cn/invokexml.do?sf=ShowPatent&amp;spn=US9456465&amp;sv=2371384ad197ffb990eca05d44a0660d","US9456465")</f>
        <v>US9456465</v>
      </c>
      <c r="B1421" s="3" t="s">
        <v>6507</v>
      </c>
      <c r="C1421" s="3" t="s">
        <v>6503</v>
      </c>
      <c r="D1421" s="3" t="s">
        <v>52</v>
      </c>
      <c r="E1421" s="3" t="s">
        <v>52</v>
      </c>
      <c r="F1421" s="3" t="s">
        <v>6504</v>
      </c>
      <c r="G1421" s="3" t="s">
        <v>6505</v>
      </c>
      <c r="H1421" s="3" t="s">
        <v>6506</v>
      </c>
      <c r="I1421" s="3" t="s">
        <v>6508</v>
      </c>
      <c r="J1421" s="3" t="s">
        <v>721</v>
      </c>
      <c r="K1421" s="3" t="s">
        <v>82</v>
      </c>
      <c r="L1421" s="3" t="s">
        <v>4497</v>
      </c>
      <c r="M1421" s="3" t="s">
        <v>82</v>
      </c>
      <c r="N1421" s="3" t="s">
        <v>3545</v>
      </c>
      <c r="O1421" s="3">
        <v>0</v>
      </c>
      <c r="P1421" s="3">
        <v>22</v>
      </c>
      <c r="Q1421" s="3" t="s">
        <v>60</v>
      </c>
      <c r="R1421" s="3" t="s">
        <v>61</v>
      </c>
      <c r="S1421" s="3">
        <v>16</v>
      </c>
      <c r="T1421" s="3">
        <v>7</v>
      </c>
      <c r="U1421" s="3">
        <v>9</v>
      </c>
      <c r="V1421" s="3">
        <v>6</v>
      </c>
      <c r="W1421" s="3">
        <v>0</v>
      </c>
      <c r="X1421" s="3" t="s">
        <v>147</v>
      </c>
      <c r="Y1421" s="3">
        <v>0</v>
      </c>
      <c r="Z1421" s="3">
        <v>0</v>
      </c>
      <c r="AA1421" s="3">
        <v>0</v>
      </c>
      <c r="AB1421" s="3">
        <v>0</v>
      </c>
      <c r="AC1421" s="3">
        <v>21</v>
      </c>
      <c r="AD1421" s="3">
        <v>10</v>
      </c>
      <c r="AE1421" s="3">
        <v>14</v>
      </c>
      <c r="AF1421" s="3" t="s">
        <v>0</v>
      </c>
      <c r="AG1421" s="3" t="s">
        <v>49</v>
      </c>
    </row>
    <row r="1422" spans="1:33" ht="63.75" x14ac:dyDescent="0.2">
      <c r="A1422" s="4" t="str">
        <f>HYPERLINK("http://www.patentics.cn/invokexml.do?sf=ShowPatent&amp;spn=US20110009120&amp;sv=43ce0dbfac972c5dd3ea298ba83c3148","US20110009120")</f>
        <v>US20110009120</v>
      </c>
      <c r="B1422" s="2" t="s">
        <v>6509</v>
      </c>
      <c r="C1422" s="2" t="s">
        <v>6510</v>
      </c>
      <c r="D1422" s="2" t="s">
        <v>346</v>
      </c>
      <c r="E1422" s="2" t="s">
        <v>346</v>
      </c>
      <c r="F1422" s="2" t="s">
        <v>6511</v>
      </c>
      <c r="G1422" s="2" t="s">
        <v>4205</v>
      </c>
      <c r="H1422" s="2" t="s">
        <v>6512</v>
      </c>
      <c r="I1422" s="2" t="s">
        <v>536</v>
      </c>
      <c r="J1422" s="2" t="s">
        <v>6513</v>
      </c>
      <c r="K1422" s="2" t="s">
        <v>82</v>
      </c>
      <c r="L1422" s="2" t="s">
        <v>177</v>
      </c>
      <c r="M1422" s="2" t="s">
        <v>0</v>
      </c>
      <c r="N1422" s="2" t="s">
        <v>0</v>
      </c>
      <c r="O1422" s="2">
        <v>10</v>
      </c>
      <c r="P1422" s="2">
        <v>12</v>
      </c>
      <c r="Q1422" s="2" t="s">
        <v>352</v>
      </c>
      <c r="R1422" s="2" t="s">
        <v>47</v>
      </c>
      <c r="S1422" s="2">
        <v>0</v>
      </c>
      <c r="T1422" s="2">
        <v>0</v>
      </c>
      <c r="U1422" s="2">
        <v>0</v>
      </c>
      <c r="V1422" s="2">
        <v>0</v>
      </c>
      <c r="W1422" s="2">
        <v>9</v>
      </c>
      <c r="X1422" s="2" t="s">
        <v>6514</v>
      </c>
      <c r="Y1422" s="2">
        <v>0</v>
      </c>
      <c r="Z1422" s="2">
        <v>9</v>
      </c>
      <c r="AA1422" s="2">
        <v>6</v>
      </c>
      <c r="AB1422" s="2">
        <v>2</v>
      </c>
      <c r="AC1422" s="2">
        <v>6</v>
      </c>
      <c r="AD1422" s="2">
        <v>4</v>
      </c>
      <c r="AE1422" s="2" t="s">
        <v>0</v>
      </c>
      <c r="AF1422" s="2">
        <v>2</v>
      </c>
      <c r="AG1422" s="2" t="s">
        <v>49</v>
      </c>
    </row>
    <row r="1423" spans="1:33" ht="51" x14ac:dyDescent="0.2">
      <c r="A1423" s="5" t="str">
        <f>HYPERLINK("http://www.patentics.cn/invokexml.do?sf=ShowPatent&amp;spn=US8483680&amp;sv=fc1540a12e54d5ce168634340c9e7ebb","US8483680")</f>
        <v>US8483680</v>
      </c>
      <c r="B1423" s="3" t="s">
        <v>6515</v>
      </c>
      <c r="C1423" s="3" t="s">
        <v>6516</v>
      </c>
      <c r="D1423" s="3" t="s">
        <v>52</v>
      </c>
      <c r="E1423" s="3" t="s">
        <v>52</v>
      </c>
      <c r="F1423" s="3" t="s">
        <v>6517</v>
      </c>
      <c r="G1423" s="3" t="s">
        <v>6518</v>
      </c>
      <c r="H1423" s="3" t="s">
        <v>3514</v>
      </c>
      <c r="I1423" s="3" t="s">
        <v>3514</v>
      </c>
      <c r="J1423" s="3" t="s">
        <v>466</v>
      </c>
      <c r="K1423" s="3" t="s">
        <v>82</v>
      </c>
      <c r="L1423" s="3" t="s">
        <v>806</v>
      </c>
      <c r="M1423" s="3" t="s">
        <v>58</v>
      </c>
      <c r="N1423" s="3" t="s">
        <v>6519</v>
      </c>
      <c r="O1423" s="3">
        <v>0</v>
      </c>
      <c r="P1423" s="3">
        <v>16</v>
      </c>
      <c r="Q1423" s="3" t="s">
        <v>60</v>
      </c>
      <c r="R1423" s="3" t="s">
        <v>61</v>
      </c>
      <c r="S1423" s="3">
        <v>28</v>
      </c>
      <c r="T1423" s="3">
        <v>1</v>
      </c>
      <c r="U1423" s="3">
        <v>27</v>
      </c>
      <c r="V1423" s="3">
        <v>17</v>
      </c>
      <c r="W1423" s="3">
        <v>0</v>
      </c>
      <c r="X1423" s="3" t="s">
        <v>147</v>
      </c>
      <c r="Y1423" s="3">
        <v>0</v>
      </c>
      <c r="Z1423" s="3">
        <v>0</v>
      </c>
      <c r="AA1423" s="3">
        <v>0</v>
      </c>
      <c r="AB1423" s="3">
        <v>0</v>
      </c>
      <c r="AC1423" s="3">
        <v>3</v>
      </c>
      <c r="AD1423" s="3">
        <v>3</v>
      </c>
      <c r="AE1423" s="3">
        <v>14</v>
      </c>
      <c r="AF1423" s="3" t="s">
        <v>0</v>
      </c>
      <c r="AG1423" s="3" t="s">
        <v>49</v>
      </c>
    </row>
    <row r="1424" spans="1:33" ht="114.75" x14ac:dyDescent="0.2">
      <c r="A1424" s="5" t="str">
        <f>HYPERLINK("http://www.patentics.cn/invokexml.do?sf=ShowPatent&amp;spn=US9516557&amp;sv=1230bc9f1358b190730a782826912833","US9516557")</f>
        <v>US9516557</v>
      </c>
      <c r="B1424" s="3" t="s">
        <v>6520</v>
      </c>
      <c r="C1424" s="3" t="s">
        <v>6521</v>
      </c>
      <c r="D1424" s="3" t="s">
        <v>52</v>
      </c>
      <c r="E1424" s="3" t="s">
        <v>52</v>
      </c>
      <c r="F1424" s="3" t="s">
        <v>6522</v>
      </c>
      <c r="G1424" s="3" t="s">
        <v>6523</v>
      </c>
      <c r="H1424" s="3" t="s">
        <v>2726</v>
      </c>
      <c r="I1424" s="3" t="s">
        <v>1481</v>
      </c>
      <c r="J1424" s="3" t="s">
        <v>3261</v>
      </c>
      <c r="K1424" s="3" t="s">
        <v>82</v>
      </c>
      <c r="L1424" s="3" t="s">
        <v>177</v>
      </c>
      <c r="M1424" s="3" t="s">
        <v>82</v>
      </c>
      <c r="N1424" s="3" t="s">
        <v>3421</v>
      </c>
      <c r="O1424" s="3">
        <v>0</v>
      </c>
      <c r="P1424" s="3">
        <v>38</v>
      </c>
      <c r="Q1424" s="3" t="s">
        <v>60</v>
      </c>
      <c r="R1424" s="3" t="s">
        <v>47</v>
      </c>
      <c r="S1424" s="3">
        <v>18</v>
      </c>
      <c r="T1424" s="3">
        <v>2</v>
      </c>
      <c r="U1424" s="3">
        <v>16</v>
      </c>
      <c r="V1424" s="3">
        <v>13</v>
      </c>
      <c r="W1424" s="3">
        <v>0</v>
      </c>
      <c r="X1424" s="3" t="s">
        <v>147</v>
      </c>
      <c r="Y1424" s="3">
        <v>0</v>
      </c>
      <c r="Z1424" s="3">
        <v>0</v>
      </c>
      <c r="AA1424" s="3">
        <v>0</v>
      </c>
      <c r="AB1424" s="3">
        <v>0</v>
      </c>
      <c r="AC1424" s="3">
        <v>2</v>
      </c>
      <c r="AD1424" s="3">
        <v>2</v>
      </c>
      <c r="AE1424" s="3">
        <v>14</v>
      </c>
      <c r="AF1424" s="3" t="s">
        <v>0</v>
      </c>
      <c r="AG1424" s="3" t="s">
        <v>49</v>
      </c>
    </row>
    <row r="1425" spans="1:33" ht="38.25" x14ac:dyDescent="0.2">
      <c r="A1425" s="4" t="str">
        <f>HYPERLINK("http://www.patentics.cn/invokexml.do?sf=ShowPatent&amp;spn=US20100273512&amp;sv=c7ef0f35c5b5a8cea5f8e47aa780cb03","US20100273512")</f>
        <v>US20100273512</v>
      </c>
      <c r="B1425" s="2" t="s">
        <v>6524</v>
      </c>
      <c r="C1425" s="2" t="s">
        <v>6525</v>
      </c>
      <c r="D1425" s="2" t="s">
        <v>346</v>
      </c>
      <c r="E1425" s="2" t="s">
        <v>346</v>
      </c>
      <c r="F1425" s="2" t="s">
        <v>6526</v>
      </c>
      <c r="G1425" s="2" t="s">
        <v>6527</v>
      </c>
      <c r="H1425" s="2" t="s">
        <v>6528</v>
      </c>
      <c r="I1425" s="2" t="s">
        <v>6528</v>
      </c>
      <c r="J1425" s="2" t="s">
        <v>1956</v>
      </c>
      <c r="K1425" s="2" t="s">
        <v>82</v>
      </c>
      <c r="L1425" s="2" t="s">
        <v>1444</v>
      </c>
      <c r="M1425" s="2" t="s">
        <v>0</v>
      </c>
      <c r="N1425" s="2" t="s">
        <v>0</v>
      </c>
      <c r="O1425" s="2">
        <v>21</v>
      </c>
      <c r="P1425" s="2">
        <v>17</v>
      </c>
      <c r="Q1425" s="2" t="s">
        <v>352</v>
      </c>
      <c r="R1425" s="2" t="s">
        <v>47</v>
      </c>
      <c r="S1425" s="2">
        <v>0</v>
      </c>
      <c r="T1425" s="2">
        <v>0</v>
      </c>
      <c r="U1425" s="2">
        <v>0</v>
      </c>
      <c r="V1425" s="2">
        <v>0</v>
      </c>
      <c r="W1425" s="2">
        <v>4</v>
      </c>
      <c r="X1425" s="2" t="s">
        <v>1799</v>
      </c>
      <c r="Y1425" s="2">
        <v>0</v>
      </c>
      <c r="Z1425" s="2">
        <v>4</v>
      </c>
      <c r="AA1425" s="2">
        <v>3</v>
      </c>
      <c r="AB1425" s="2">
        <v>1</v>
      </c>
      <c r="AC1425" s="2">
        <v>4</v>
      </c>
      <c r="AD1425" s="2">
        <v>3</v>
      </c>
      <c r="AE1425" s="2" t="s">
        <v>0</v>
      </c>
      <c r="AF1425" s="2">
        <v>2</v>
      </c>
      <c r="AG1425" s="2" t="s">
        <v>49</v>
      </c>
    </row>
    <row r="1426" spans="1:33" ht="102" x14ac:dyDescent="0.2">
      <c r="A1426" s="5" t="str">
        <f>HYPERLINK("http://www.patentics.cn/invokexml.do?sf=ShowPatent&amp;spn=US9295030&amp;sv=e541b967b0c01d1403c3111c97e9ad71","US9295030")</f>
        <v>US9295030</v>
      </c>
      <c r="B1426" s="3" t="s">
        <v>6482</v>
      </c>
      <c r="C1426" s="3" t="s">
        <v>6483</v>
      </c>
      <c r="D1426" s="3" t="s">
        <v>52</v>
      </c>
      <c r="E1426" s="3" t="s">
        <v>52</v>
      </c>
      <c r="F1426" s="3" t="s">
        <v>6484</v>
      </c>
      <c r="G1426" s="3" t="s">
        <v>1079</v>
      </c>
      <c r="H1426" s="3" t="s">
        <v>3559</v>
      </c>
      <c r="I1426" s="3" t="s">
        <v>2394</v>
      </c>
      <c r="J1426" s="3" t="s">
        <v>696</v>
      </c>
      <c r="K1426" s="3" t="s">
        <v>82</v>
      </c>
      <c r="L1426" s="3" t="s">
        <v>1444</v>
      </c>
      <c r="M1426" s="3" t="s">
        <v>82</v>
      </c>
      <c r="N1426" s="3" t="s">
        <v>1473</v>
      </c>
      <c r="O1426" s="3">
        <v>0</v>
      </c>
      <c r="P1426" s="3">
        <v>10</v>
      </c>
      <c r="Q1426" s="3" t="s">
        <v>60</v>
      </c>
      <c r="R1426" s="3" t="s">
        <v>61</v>
      </c>
      <c r="S1426" s="3">
        <v>63</v>
      </c>
      <c r="T1426" s="3">
        <v>5</v>
      </c>
      <c r="U1426" s="3">
        <v>58</v>
      </c>
      <c r="V1426" s="3">
        <v>24</v>
      </c>
      <c r="W1426" s="3">
        <v>0</v>
      </c>
      <c r="X1426" s="3" t="s">
        <v>147</v>
      </c>
      <c r="Y1426" s="3">
        <v>0</v>
      </c>
      <c r="Z1426" s="3">
        <v>0</v>
      </c>
      <c r="AA1426" s="3">
        <v>0</v>
      </c>
      <c r="AB1426" s="3">
        <v>0</v>
      </c>
      <c r="AC1426" s="3">
        <v>19</v>
      </c>
      <c r="AD1426" s="3">
        <v>8</v>
      </c>
      <c r="AE1426" s="3">
        <v>14</v>
      </c>
      <c r="AF1426" s="3" t="s">
        <v>0</v>
      </c>
      <c r="AG1426" s="3" t="s">
        <v>49</v>
      </c>
    </row>
    <row r="1427" spans="1:33" ht="102" x14ac:dyDescent="0.2">
      <c r="A1427" s="5" t="str">
        <f>HYPERLINK("http://www.patentics.cn/invokexml.do?sf=ShowPatent&amp;spn=US9320013&amp;sv=f54b64ff219b22a1ae032d45a862e594","US9320013")</f>
        <v>US9320013</v>
      </c>
      <c r="B1427" s="3" t="s">
        <v>6485</v>
      </c>
      <c r="C1427" s="3" t="s">
        <v>6483</v>
      </c>
      <c r="D1427" s="3" t="s">
        <v>52</v>
      </c>
      <c r="E1427" s="3" t="s">
        <v>52</v>
      </c>
      <c r="F1427" s="3" t="s">
        <v>6484</v>
      </c>
      <c r="G1427" s="3" t="s">
        <v>1079</v>
      </c>
      <c r="H1427" s="3" t="s">
        <v>3559</v>
      </c>
      <c r="I1427" s="3" t="s">
        <v>2394</v>
      </c>
      <c r="J1427" s="3" t="s">
        <v>699</v>
      </c>
      <c r="K1427" s="3" t="s">
        <v>82</v>
      </c>
      <c r="L1427" s="3" t="s">
        <v>827</v>
      </c>
      <c r="M1427" s="3" t="s">
        <v>82</v>
      </c>
      <c r="N1427" s="3" t="s">
        <v>1473</v>
      </c>
      <c r="O1427" s="3">
        <v>0</v>
      </c>
      <c r="P1427" s="3">
        <v>7</v>
      </c>
      <c r="Q1427" s="3" t="s">
        <v>60</v>
      </c>
      <c r="R1427" s="3" t="s">
        <v>61</v>
      </c>
      <c r="S1427" s="3">
        <v>64</v>
      </c>
      <c r="T1427" s="3">
        <v>5</v>
      </c>
      <c r="U1427" s="3">
        <v>59</v>
      </c>
      <c r="V1427" s="3">
        <v>24</v>
      </c>
      <c r="W1427" s="3">
        <v>0</v>
      </c>
      <c r="X1427" s="3" t="s">
        <v>147</v>
      </c>
      <c r="Y1427" s="3">
        <v>0</v>
      </c>
      <c r="Z1427" s="3">
        <v>0</v>
      </c>
      <c r="AA1427" s="3">
        <v>0</v>
      </c>
      <c r="AB1427" s="3">
        <v>0</v>
      </c>
      <c r="AC1427" s="3">
        <v>19</v>
      </c>
      <c r="AD1427" s="3">
        <v>8</v>
      </c>
      <c r="AE1427" s="3">
        <v>14</v>
      </c>
      <c r="AF1427" s="3" t="s">
        <v>0</v>
      </c>
      <c r="AG1427" s="3" t="s">
        <v>49</v>
      </c>
    </row>
    <row r="1428" spans="1:33" ht="38.25" x14ac:dyDescent="0.2">
      <c r="A1428" s="4" t="str">
        <f>HYPERLINK("http://www.patentics.cn/invokexml.do?sf=ShowPatent&amp;spn=US20090316696&amp;sv=47d87fc5c697827b418ef051cb5b779c","US20090316696")</f>
        <v>US20090316696</v>
      </c>
      <c r="B1428" s="2" t="s">
        <v>6529</v>
      </c>
      <c r="C1428" s="2" t="s">
        <v>6530</v>
      </c>
      <c r="D1428" s="2" t="s">
        <v>346</v>
      </c>
      <c r="E1428" s="2" t="s">
        <v>346</v>
      </c>
      <c r="F1428" s="2" t="s">
        <v>6531</v>
      </c>
      <c r="G1428" s="2" t="s">
        <v>6531</v>
      </c>
      <c r="H1428" s="2" t="s">
        <v>175</v>
      </c>
      <c r="I1428" s="2" t="s">
        <v>6532</v>
      </c>
      <c r="J1428" s="2" t="s">
        <v>6533</v>
      </c>
      <c r="K1428" s="2" t="s">
        <v>58</v>
      </c>
      <c r="L1428" s="2" t="s">
        <v>1236</v>
      </c>
      <c r="M1428" s="2" t="s">
        <v>0</v>
      </c>
      <c r="N1428" s="2" t="s">
        <v>0</v>
      </c>
      <c r="O1428" s="2">
        <v>14</v>
      </c>
      <c r="P1428" s="2">
        <v>8</v>
      </c>
      <c r="Q1428" s="2" t="s">
        <v>352</v>
      </c>
      <c r="R1428" s="2" t="s">
        <v>47</v>
      </c>
      <c r="S1428" s="2">
        <v>0</v>
      </c>
      <c r="T1428" s="2">
        <v>0</v>
      </c>
      <c r="U1428" s="2">
        <v>0</v>
      </c>
      <c r="V1428" s="2">
        <v>0</v>
      </c>
      <c r="W1428" s="2">
        <v>5</v>
      </c>
      <c r="X1428" s="2" t="s">
        <v>2748</v>
      </c>
      <c r="Y1428" s="2">
        <v>0</v>
      </c>
      <c r="Z1428" s="2">
        <v>5</v>
      </c>
      <c r="AA1428" s="2">
        <v>2</v>
      </c>
      <c r="AB1428" s="2">
        <v>2</v>
      </c>
      <c r="AC1428" s="2">
        <v>7</v>
      </c>
      <c r="AD1428" s="2">
        <v>5</v>
      </c>
      <c r="AE1428" s="2" t="s">
        <v>0</v>
      </c>
      <c r="AF1428" s="2">
        <v>2</v>
      </c>
      <c r="AG1428" s="2" t="s">
        <v>49</v>
      </c>
    </row>
    <row r="1429" spans="1:33" ht="178.5" x14ac:dyDescent="0.2">
      <c r="A1429" s="5" t="str">
        <f>HYPERLINK("http://www.patentics.cn/invokexml.do?sf=ShowPatent&amp;spn=US9374739&amp;sv=006f946ff91c9edb381f343a9f598662","US9374739")</f>
        <v>US9374739</v>
      </c>
      <c r="B1429" s="3" t="s">
        <v>3416</v>
      </c>
      <c r="C1429" s="3" t="s">
        <v>3417</v>
      </c>
      <c r="D1429" s="3" t="s">
        <v>52</v>
      </c>
      <c r="E1429" s="3" t="s">
        <v>52</v>
      </c>
      <c r="F1429" s="3" t="s">
        <v>3418</v>
      </c>
      <c r="G1429" s="3" t="s">
        <v>1525</v>
      </c>
      <c r="H1429" s="3" t="s">
        <v>3419</v>
      </c>
      <c r="I1429" s="3" t="s">
        <v>3420</v>
      </c>
      <c r="J1429" s="3" t="s">
        <v>1094</v>
      </c>
      <c r="K1429" s="3" t="s">
        <v>82</v>
      </c>
      <c r="L1429" s="3" t="s">
        <v>83</v>
      </c>
      <c r="M1429" s="3" t="s">
        <v>82</v>
      </c>
      <c r="N1429" s="3" t="s">
        <v>3421</v>
      </c>
      <c r="O1429" s="3">
        <v>0</v>
      </c>
      <c r="P1429" s="3">
        <v>30</v>
      </c>
      <c r="Q1429" s="3" t="s">
        <v>60</v>
      </c>
      <c r="R1429" s="3" t="s">
        <v>61</v>
      </c>
      <c r="S1429" s="3">
        <v>20</v>
      </c>
      <c r="T1429" s="3">
        <v>0</v>
      </c>
      <c r="U1429" s="3">
        <v>20</v>
      </c>
      <c r="V1429" s="3">
        <v>8</v>
      </c>
      <c r="W1429" s="3">
        <v>0</v>
      </c>
      <c r="X1429" s="3" t="s">
        <v>147</v>
      </c>
      <c r="Y1429" s="3">
        <v>0</v>
      </c>
      <c r="Z1429" s="3">
        <v>0</v>
      </c>
      <c r="AA1429" s="3">
        <v>0</v>
      </c>
      <c r="AB1429" s="3">
        <v>0</v>
      </c>
      <c r="AC1429" s="3">
        <v>9</v>
      </c>
      <c r="AD1429" s="3">
        <v>6</v>
      </c>
      <c r="AE1429" s="3">
        <v>14</v>
      </c>
      <c r="AF1429" s="3" t="s">
        <v>0</v>
      </c>
      <c r="AG1429" s="3" t="s">
        <v>49</v>
      </c>
    </row>
    <row r="1430" spans="1:33" ht="165.75" x14ac:dyDescent="0.2">
      <c r="A1430" s="5" t="str">
        <f>HYPERLINK("http://www.patentics.cn/invokexml.do?sf=ShowPatent&amp;spn=WO2011146655&amp;sv=8f9c72c8a62b61f1d348c4fa59f1b749","WO2011146655")</f>
        <v>WO2011146655</v>
      </c>
      <c r="B1430" s="3" t="s">
        <v>3422</v>
      </c>
      <c r="C1430" s="3" t="s">
        <v>3423</v>
      </c>
      <c r="D1430" s="3" t="s">
        <v>3424</v>
      </c>
      <c r="E1430" s="3" t="s">
        <v>3425</v>
      </c>
      <c r="F1430" s="3" t="s">
        <v>3426</v>
      </c>
      <c r="G1430" s="3" t="s">
        <v>3427</v>
      </c>
      <c r="H1430" s="3" t="s">
        <v>3419</v>
      </c>
      <c r="I1430" s="3" t="s">
        <v>3428</v>
      </c>
      <c r="J1430" s="3" t="s">
        <v>2905</v>
      </c>
      <c r="K1430" s="3" t="s">
        <v>82</v>
      </c>
      <c r="L1430" s="3" t="s">
        <v>177</v>
      </c>
      <c r="M1430" s="3" t="s">
        <v>0</v>
      </c>
      <c r="N1430" s="3" t="s">
        <v>0</v>
      </c>
      <c r="O1430" s="3">
        <v>19</v>
      </c>
      <c r="P1430" s="3">
        <v>12</v>
      </c>
      <c r="Q1430" s="3" t="s">
        <v>352</v>
      </c>
      <c r="R1430" s="3" t="s">
        <v>61</v>
      </c>
      <c r="S1430" s="3">
        <v>6</v>
      </c>
      <c r="T1430" s="3">
        <v>0</v>
      </c>
      <c r="U1430" s="3">
        <v>6</v>
      </c>
      <c r="V1430" s="3">
        <v>3</v>
      </c>
      <c r="W1430" s="3">
        <v>0</v>
      </c>
      <c r="X1430" s="3" t="s">
        <v>147</v>
      </c>
      <c r="Y1430" s="3">
        <v>0</v>
      </c>
      <c r="Z1430" s="3">
        <v>0</v>
      </c>
      <c r="AA1430" s="3">
        <v>0</v>
      </c>
      <c r="AB1430" s="3">
        <v>0</v>
      </c>
      <c r="AC1430" s="3">
        <v>9</v>
      </c>
      <c r="AD1430" s="3">
        <v>6</v>
      </c>
      <c r="AE1430" s="3">
        <v>14</v>
      </c>
      <c r="AF1430" s="3" t="s">
        <v>0</v>
      </c>
      <c r="AG1430" s="3" t="s">
        <v>0</v>
      </c>
    </row>
    <row r="1431" spans="1:33" ht="63.75" x14ac:dyDescent="0.2">
      <c r="A1431" s="4" t="str">
        <f>HYPERLINK("http://www.patentics.cn/invokexml.do?sf=ShowPatent&amp;spn=US20080285522&amp;sv=44e0d4a0174b24b2c61e90047c30fed3","US20080285522")</f>
        <v>US20080285522</v>
      </c>
      <c r="B1431" s="2" t="s">
        <v>6534</v>
      </c>
      <c r="C1431" s="2" t="s">
        <v>6535</v>
      </c>
      <c r="D1431" s="2" t="s">
        <v>346</v>
      </c>
      <c r="E1431" s="2" t="s">
        <v>346</v>
      </c>
      <c r="F1431" s="2" t="s">
        <v>6536</v>
      </c>
      <c r="G1431" s="2" t="s">
        <v>6537</v>
      </c>
      <c r="H1431" s="2" t="s">
        <v>6538</v>
      </c>
      <c r="I1431" s="2" t="s">
        <v>1355</v>
      </c>
      <c r="J1431" s="2" t="s">
        <v>1125</v>
      </c>
      <c r="K1431" s="2" t="s">
        <v>70</v>
      </c>
      <c r="L1431" s="2" t="s">
        <v>3121</v>
      </c>
      <c r="M1431" s="2" t="s">
        <v>0</v>
      </c>
      <c r="N1431" s="2" t="s">
        <v>0</v>
      </c>
      <c r="O1431" s="2">
        <v>16</v>
      </c>
      <c r="P1431" s="2">
        <v>9</v>
      </c>
      <c r="Q1431" s="2" t="s">
        <v>352</v>
      </c>
      <c r="R1431" s="2" t="s">
        <v>47</v>
      </c>
      <c r="S1431" s="2">
        <v>0</v>
      </c>
      <c r="T1431" s="2">
        <v>0</v>
      </c>
      <c r="U1431" s="2">
        <v>0</v>
      </c>
      <c r="V1431" s="2">
        <v>0</v>
      </c>
      <c r="W1431" s="2">
        <v>5</v>
      </c>
      <c r="X1431" s="2" t="s">
        <v>6539</v>
      </c>
      <c r="Y1431" s="2">
        <v>0</v>
      </c>
      <c r="Z1431" s="2">
        <v>5</v>
      </c>
      <c r="AA1431" s="2">
        <v>4</v>
      </c>
      <c r="AB1431" s="2">
        <v>1</v>
      </c>
      <c r="AC1431" s="2">
        <v>6</v>
      </c>
      <c r="AD1431" s="2">
        <v>4</v>
      </c>
      <c r="AE1431" s="2" t="s">
        <v>0</v>
      </c>
      <c r="AF1431" s="2">
        <v>2</v>
      </c>
      <c r="AG1431" s="2" t="s">
        <v>49</v>
      </c>
    </row>
    <row r="1432" spans="1:33" ht="63.75" x14ac:dyDescent="0.2">
      <c r="A1432" s="5" t="str">
        <f>HYPERLINK("http://www.patentics.cn/invokexml.do?sf=ShowPatent&amp;spn=US8861487&amp;sv=4fc04fb3d21ce4beabb1e07c44dc9b54","US8861487")</f>
        <v>US8861487</v>
      </c>
      <c r="B1432" s="3" t="s">
        <v>6540</v>
      </c>
      <c r="C1432" s="3" t="s">
        <v>6541</v>
      </c>
      <c r="D1432" s="3" t="s">
        <v>52</v>
      </c>
      <c r="E1432" s="3" t="s">
        <v>52</v>
      </c>
      <c r="F1432" s="3" t="s">
        <v>1457</v>
      </c>
      <c r="G1432" s="3" t="s">
        <v>1458</v>
      </c>
      <c r="H1432" s="3" t="s">
        <v>4116</v>
      </c>
      <c r="I1432" s="3" t="s">
        <v>5410</v>
      </c>
      <c r="J1432" s="3" t="s">
        <v>1461</v>
      </c>
      <c r="K1432" s="3" t="s">
        <v>70</v>
      </c>
      <c r="L1432" s="3" t="s">
        <v>467</v>
      </c>
      <c r="M1432" s="3" t="s">
        <v>82</v>
      </c>
      <c r="N1432" s="3" t="s">
        <v>6542</v>
      </c>
      <c r="O1432" s="3">
        <v>0</v>
      </c>
      <c r="P1432" s="3">
        <v>13</v>
      </c>
      <c r="Q1432" s="3" t="s">
        <v>60</v>
      </c>
      <c r="R1432" s="3" t="s">
        <v>61</v>
      </c>
      <c r="S1432" s="3">
        <v>8</v>
      </c>
      <c r="T1432" s="3">
        <v>1</v>
      </c>
      <c r="U1432" s="3">
        <v>7</v>
      </c>
      <c r="V1432" s="3">
        <v>6</v>
      </c>
      <c r="W1432" s="3">
        <v>0</v>
      </c>
      <c r="X1432" s="3" t="s">
        <v>147</v>
      </c>
      <c r="Y1432" s="3">
        <v>0</v>
      </c>
      <c r="Z1432" s="3">
        <v>0</v>
      </c>
      <c r="AA1432" s="3">
        <v>0</v>
      </c>
      <c r="AB1432" s="3">
        <v>0</v>
      </c>
      <c r="AC1432" s="3">
        <v>3</v>
      </c>
      <c r="AD1432" s="3">
        <v>3</v>
      </c>
      <c r="AE1432" s="3">
        <v>14</v>
      </c>
      <c r="AF1432" s="3" t="s">
        <v>0</v>
      </c>
      <c r="AG1432" s="3" t="s">
        <v>49</v>
      </c>
    </row>
    <row r="1433" spans="1:33" ht="102" x14ac:dyDescent="0.2">
      <c r="A1433" s="5" t="str">
        <f>HYPERLINK("http://www.patentics.cn/invokexml.do?sf=ShowPatent&amp;spn=US9319997&amp;sv=b5466246baf761575f891cabd27f1379","US9319997")</f>
        <v>US9319997</v>
      </c>
      <c r="B1433" s="3" t="s">
        <v>6543</v>
      </c>
      <c r="C1433" s="3" t="s">
        <v>6544</v>
      </c>
      <c r="D1433" s="3" t="s">
        <v>52</v>
      </c>
      <c r="E1433" s="3" t="s">
        <v>52</v>
      </c>
      <c r="F1433" s="3" t="s">
        <v>6545</v>
      </c>
      <c r="G1433" s="3" t="s">
        <v>6546</v>
      </c>
      <c r="H1433" s="3" t="s">
        <v>6547</v>
      </c>
      <c r="I1433" s="3" t="s">
        <v>6548</v>
      </c>
      <c r="J1433" s="3" t="s">
        <v>699</v>
      </c>
      <c r="K1433" s="3" t="s">
        <v>84</v>
      </c>
      <c r="L1433" s="3" t="s">
        <v>163</v>
      </c>
      <c r="M1433" s="3" t="s">
        <v>82</v>
      </c>
      <c r="N1433" s="3" t="s">
        <v>2787</v>
      </c>
      <c r="O1433" s="3">
        <v>0</v>
      </c>
      <c r="P1433" s="3">
        <v>19</v>
      </c>
      <c r="Q1433" s="3" t="s">
        <v>60</v>
      </c>
      <c r="R1433" s="3" t="s">
        <v>61</v>
      </c>
      <c r="S1433" s="3">
        <v>8</v>
      </c>
      <c r="T1433" s="3">
        <v>2</v>
      </c>
      <c r="U1433" s="3">
        <v>6</v>
      </c>
      <c r="V1433" s="3">
        <v>5</v>
      </c>
      <c r="W1433" s="3">
        <v>0</v>
      </c>
      <c r="X1433" s="3" t="s">
        <v>147</v>
      </c>
      <c r="Y1433" s="3">
        <v>0</v>
      </c>
      <c r="Z1433" s="3">
        <v>0</v>
      </c>
      <c r="AA1433" s="3">
        <v>0</v>
      </c>
      <c r="AB1433" s="3">
        <v>0</v>
      </c>
      <c r="AC1433" s="3">
        <v>2</v>
      </c>
      <c r="AD1433" s="3">
        <v>2</v>
      </c>
      <c r="AE1433" s="3">
        <v>14</v>
      </c>
      <c r="AF1433" s="3" t="s">
        <v>0</v>
      </c>
      <c r="AG1433" s="3" t="s">
        <v>49</v>
      </c>
    </row>
    <row r="1434" spans="1:33" ht="89.25" x14ac:dyDescent="0.2">
      <c r="A1434" s="4" t="str">
        <f>HYPERLINK("http://www.patentics.cn/invokexml.do?sf=ShowPatent&amp;spn=US8885533&amp;sv=ba974f904cf9448237b7baea9e88324a","US8885533")</f>
        <v>US8885533</v>
      </c>
      <c r="B1434" s="2" t="s">
        <v>6549</v>
      </c>
      <c r="C1434" s="2" t="s">
        <v>6550</v>
      </c>
      <c r="D1434" s="2" t="s">
        <v>1394</v>
      </c>
      <c r="E1434" s="2" t="s">
        <v>1394</v>
      </c>
      <c r="F1434" s="2" t="s">
        <v>2671</v>
      </c>
      <c r="G1434" s="2" t="s">
        <v>1006</v>
      </c>
      <c r="H1434" s="2" t="s">
        <v>4267</v>
      </c>
      <c r="I1434" s="2" t="s">
        <v>1755</v>
      </c>
      <c r="J1434" s="2" t="s">
        <v>196</v>
      </c>
      <c r="K1434" s="2" t="s">
        <v>457</v>
      </c>
      <c r="L1434" s="2" t="s">
        <v>458</v>
      </c>
      <c r="M1434" s="2" t="s">
        <v>82</v>
      </c>
      <c r="N1434" s="2" t="s">
        <v>1462</v>
      </c>
      <c r="O1434" s="2">
        <v>0</v>
      </c>
      <c r="P1434" s="2">
        <v>8</v>
      </c>
      <c r="Q1434" s="2" t="s">
        <v>60</v>
      </c>
      <c r="R1434" s="2" t="s">
        <v>47</v>
      </c>
      <c r="S1434" s="2">
        <v>21</v>
      </c>
      <c r="T1434" s="2">
        <v>2</v>
      </c>
      <c r="U1434" s="2">
        <v>19</v>
      </c>
      <c r="V1434" s="2">
        <v>11</v>
      </c>
      <c r="W1434" s="2">
        <v>2</v>
      </c>
      <c r="X1434" s="2" t="s">
        <v>1061</v>
      </c>
      <c r="Y1434" s="2">
        <v>0</v>
      </c>
      <c r="Z1434" s="2">
        <v>2</v>
      </c>
      <c r="AA1434" s="2">
        <v>1</v>
      </c>
      <c r="AB1434" s="2">
        <v>1</v>
      </c>
      <c r="AC1434" s="2">
        <v>2</v>
      </c>
      <c r="AD1434" s="2">
        <v>2</v>
      </c>
      <c r="AE1434" s="2" t="s">
        <v>0</v>
      </c>
      <c r="AF1434" s="2">
        <v>2</v>
      </c>
      <c r="AG1434" s="2" t="s">
        <v>49</v>
      </c>
    </row>
    <row r="1435" spans="1:33" ht="153" x14ac:dyDescent="0.2">
      <c r="A1435" s="5" t="str">
        <f>HYPERLINK("http://www.patentics.cn/invokexml.do?sf=ShowPatent&amp;spn=US9143921&amp;sv=aa0c662f15cb19717babfb2852704fe2","US9143921")</f>
        <v>US9143921</v>
      </c>
      <c r="B1435" s="3" t="s">
        <v>6551</v>
      </c>
      <c r="C1435" s="3" t="s">
        <v>6552</v>
      </c>
      <c r="D1435" s="3" t="s">
        <v>52</v>
      </c>
      <c r="E1435" s="3" t="s">
        <v>52</v>
      </c>
      <c r="F1435" s="3" t="s">
        <v>6553</v>
      </c>
      <c r="G1435" s="3" t="s">
        <v>2151</v>
      </c>
      <c r="H1435" s="3" t="s">
        <v>738</v>
      </c>
      <c r="I1435" s="3" t="s">
        <v>738</v>
      </c>
      <c r="J1435" s="3" t="s">
        <v>240</v>
      </c>
      <c r="K1435" s="3" t="s">
        <v>270</v>
      </c>
      <c r="L1435" s="3" t="s">
        <v>6554</v>
      </c>
      <c r="M1435" s="3" t="s">
        <v>82</v>
      </c>
      <c r="N1435" s="3" t="s">
        <v>6555</v>
      </c>
      <c r="O1435" s="3">
        <v>0</v>
      </c>
      <c r="P1435" s="3">
        <v>35</v>
      </c>
      <c r="Q1435" s="3" t="s">
        <v>60</v>
      </c>
      <c r="R1435" s="3" t="s">
        <v>61</v>
      </c>
      <c r="S1435" s="3">
        <v>20</v>
      </c>
      <c r="T1435" s="3">
        <v>3</v>
      </c>
      <c r="U1435" s="3">
        <v>17</v>
      </c>
      <c r="V1435" s="3">
        <v>14</v>
      </c>
      <c r="W1435" s="3">
        <v>0</v>
      </c>
      <c r="X1435" s="3" t="s">
        <v>147</v>
      </c>
      <c r="Y1435" s="3">
        <v>0</v>
      </c>
      <c r="Z1435" s="3">
        <v>0</v>
      </c>
      <c r="AA1435" s="3">
        <v>0</v>
      </c>
      <c r="AB1435" s="3">
        <v>0</v>
      </c>
      <c r="AC1435" s="3">
        <v>5</v>
      </c>
      <c r="AD1435" s="3">
        <v>5</v>
      </c>
      <c r="AE1435" s="3">
        <v>14</v>
      </c>
      <c r="AF1435" s="3" t="s">
        <v>0</v>
      </c>
      <c r="AG1435" s="3" t="s">
        <v>49</v>
      </c>
    </row>
    <row r="1436" spans="1:33" ht="51" x14ac:dyDescent="0.2">
      <c r="A1436" s="5" t="str">
        <f>HYPERLINK("http://www.patentics.cn/invokexml.do?sf=ShowPatent&amp;spn=US9367113&amp;sv=e62d42897ff404239e67b14a02943589","US9367113")</f>
        <v>US9367113</v>
      </c>
      <c r="B1436" s="3" t="s">
        <v>6556</v>
      </c>
      <c r="C1436" s="3" t="s">
        <v>6557</v>
      </c>
      <c r="D1436" s="3" t="s">
        <v>52</v>
      </c>
      <c r="E1436" s="3" t="s">
        <v>52</v>
      </c>
      <c r="F1436" s="3" t="s">
        <v>6558</v>
      </c>
      <c r="G1436" s="3" t="s">
        <v>6558</v>
      </c>
      <c r="H1436" s="3" t="s">
        <v>5007</v>
      </c>
      <c r="I1436" s="3" t="s">
        <v>5007</v>
      </c>
      <c r="J1436" s="3" t="s">
        <v>2829</v>
      </c>
      <c r="K1436" s="3" t="s">
        <v>555</v>
      </c>
      <c r="L1436" s="3" t="s">
        <v>6559</v>
      </c>
      <c r="M1436" s="3" t="s">
        <v>555</v>
      </c>
      <c r="N1436" s="3" t="s">
        <v>6560</v>
      </c>
      <c r="O1436" s="3">
        <v>0</v>
      </c>
      <c r="P1436" s="3">
        <v>23</v>
      </c>
      <c r="Q1436" s="3" t="s">
        <v>60</v>
      </c>
      <c r="R1436" s="3" t="s">
        <v>61</v>
      </c>
      <c r="S1436" s="3">
        <v>24</v>
      </c>
      <c r="T1436" s="3">
        <v>3</v>
      </c>
      <c r="U1436" s="3">
        <v>21</v>
      </c>
      <c r="V1436" s="3">
        <v>18</v>
      </c>
      <c r="W1436" s="3">
        <v>0</v>
      </c>
      <c r="X1436" s="3" t="s">
        <v>147</v>
      </c>
      <c r="Y1436" s="3">
        <v>0</v>
      </c>
      <c r="Z1436" s="3">
        <v>0</v>
      </c>
      <c r="AA1436" s="3">
        <v>0</v>
      </c>
      <c r="AB1436" s="3">
        <v>0</v>
      </c>
      <c r="AC1436" s="3">
        <v>9</v>
      </c>
      <c r="AD1436" s="3">
        <v>8</v>
      </c>
      <c r="AE1436" s="3">
        <v>14</v>
      </c>
      <c r="AF1436" s="3" t="s">
        <v>0</v>
      </c>
      <c r="AG1436" s="3" t="s">
        <v>49</v>
      </c>
    </row>
    <row r="1437" spans="1:33" ht="51" x14ac:dyDescent="0.2">
      <c r="A1437" s="4" t="str">
        <f>HYPERLINK("http://www.patentics.cn/invokexml.do?sf=ShowPatent&amp;spn=US8787482&amp;sv=df0f707da4187f4838c2b6d95be19dc9","US8787482")</f>
        <v>US8787482</v>
      </c>
      <c r="B1437" s="2" t="s">
        <v>6561</v>
      </c>
      <c r="C1437" s="2" t="s">
        <v>6562</v>
      </c>
      <c r="D1437" s="2" t="s">
        <v>346</v>
      </c>
      <c r="E1437" s="2" t="s">
        <v>346</v>
      </c>
      <c r="F1437" s="2" t="s">
        <v>6563</v>
      </c>
      <c r="G1437" s="2" t="s">
        <v>6564</v>
      </c>
      <c r="H1437" s="2" t="s">
        <v>6565</v>
      </c>
      <c r="I1437" s="2" t="s">
        <v>2160</v>
      </c>
      <c r="J1437" s="2" t="s">
        <v>169</v>
      </c>
      <c r="K1437" s="2" t="s">
        <v>84</v>
      </c>
      <c r="L1437" s="2" t="s">
        <v>135</v>
      </c>
      <c r="M1437" s="2" t="s">
        <v>84</v>
      </c>
      <c r="N1437" s="2" t="s">
        <v>136</v>
      </c>
      <c r="O1437" s="2">
        <v>0</v>
      </c>
      <c r="P1437" s="2">
        <v>22</v>
      </c>
      <c r="Q1437" s="2" t="s">
        <v>60</v>
      </c>
      <c r="R1437" s="2" t="s">
        <v>47</v>
      </c>
      <c r="S1437" s="2">
        <v>20</v>
      </c>
      <c r="T1437" s="2">
        <v>0</v>
      </c>
      <c r="U1437" s="2">
        <v>20</v>
      </c>
      <c r="V1437" s="2">
        <v>10</v>
      </c>
      <c r="W1437" s="2">
        <v>2</v>
      </c>
      <c r="X1437" s="2" t="s">
        <v>108</v>
      </c>
      <c r="Y1437" s="2">
        <v>0</v>
      </c>
      <c r="Z1437" s="2">
        <v>2</v>
      </c>
      <c r="AA1437" s="2">
        <v>1</v>
      </c>
      <c r="AB1437" s="2">
        <v>1</v>
      </c>
      <c r="AC1437" s="2">
        <v>7</v>
      </c>
      <c r="AD1437" s="2">
        <v>5</v>
      </c>
      <c r="AE1437" s="2" t="s">
        <v>0</v>
      </c>
      <c r="AF1437" s="2">
        <v>2</v>
      </c>
      <c r="AG1437" s="2" t="s">
        <v>49</v>
      </c>
    </row>
    <row r="1438" spans="1:33" ht="89.25" x14ac:dyDescent="0.2">
      <c r="A1438" s="5" t="str">
        <f>HYPERLINK("http://www.patentics.cn/invokexml.do?sf=ShowPatent&amp;spn=US8948800&amp;sv=8e21f0d804b3ff75ffd141dbbde5df9a","US8948800")</f>
        <v>US8948800</v>
      </c>
      <c r="B1438" s="3" t="s">
        <v>6566</v>
      </c>
      <c r="C1438" s="3" t="s">
        <v>6567</v>
      </c>
      <c r="D1438" s="3" t="s">
        <v>52</v>
      </c>
      <c r="E1438" s="3" t="s">
        <v>52</v>
      </c>
      <c r="F1438" s="3" t="s">
        <v>6568</v>
      </c>
      <c r="G1438" s="3" t="s">
        <v>6569</v>
      </c>
      <c r="H1438" s="3" t="s">
        <v>2078</v>
      </c>
      <c r="I1438" s="3" t="s">
        <v>4282</v>
      </c>
      <c r="J1438" s="3" t="s">
        <v>2504</v>
      </c>
      <c r="K1438" s="3" t="s">
        <v>84</v>
      </c>
      <c r="L1438" s="3" t="s">
        <v>6570</v>
      </c>
      <c r="M1438" s="3" t="s">
        <v>84</v>
      </c>
      <c r="N1438" s="3" t="s">
        <v>2498</v>
      </c>
      <c r="O1438" s="3">
        <v>0</v>
      </c>
      <c r="P1438" s="3">
        <v>12</v>
      </c>
      <c r="Q1438" s="3" t="s">
        <v>60</v>
      </c>
      <c r="R1438" s="3" t="s">
        <v>61</v>
      </c>
      <c r="S1438" s="3">
        <v>87</v>
      </c>
      <c r="T1438" s="3">
        <v>8</v>
      </c>
      <c r="U1438" s="3">
        <v>79</v>
      </c>
      <c r="V1438" s="3">
        <v>18</v>
      </c>
      <c r="W1438" s="3">
        <v>0</v>
      </c>
      <c r="X1438" s="3" t="s">
        <v>147</v>
      </c>
      <c r="Y1438" s="3">
        <v>0</v>
      </c>
      <c r="Z1438" s="3">
        <v>0</v>
      </c>
      <c r="AA1438" s="3">
        <v>0</v>
      </c>
      <c r="AB1438" s="3">
        <v>0</v>
      </c>
      <c r="AC1438" s="3">
        <v>9</v>
      </c>
      <c r="AD1438" s="3">
        <v>6</v>
      </c>
      <c r="AE1438" s="3">
        <v>14</v>
      </c>
      <c r="AF1438" s="3" t="s">
        <v>0</v>
      </c>
      <c r="AG1438" s="3" t="s">
        <v>49</v>
      </c>
    </row>
    <row r="1439" spans="1:33" ht="89.25" x14ac:dyDescent="0.2">
      <c r="A1439" s="5" t="str">
        <f>HYPERLINK("http://www.patentics.cn/invokexml.do?sf=ShowPatent&amp;spn=US9130607&amp;sv=97ed8cfec3fc442c4bf91b4c7acd6299","US9130607")</f>
        <v>US9130607</v>
      </c>
      <c r="B1439" s="3" t="s">
        <v>6571</v>
      </c>
      <c r="C1439" s="3" t="s">
        <v>6567</v>
      </c>
      <c r="D1439" s="3" t="s">
        <v>52</v>
      </c>
      <c r="E1439" s="3" t="s">
        <v>52</v>
      </c>
      <c r="F1439" s="3" t="s">
        <v>6572</v>
      </c>
      <c r="G1439" s="3" t="s">
        <v>6573</v>
      </c>
      <c r="H1439" s="3" t="s">
        <v>2078</v>
      </c>
      <c r="I1439" s="3" t="s">
        <v>4282</v>
      </c>
      <c r="J1439" s="3" t="s">
        <v>219</v>
      </c>
      <c r="K1439" s="3" t="s">
        <v>58</v>
      </c>
      <c r="L1439" s="3" t="s">
        <v>613</v>
      </c>
      <c r="M1439" s="3" t="s">
        <v>0</v>
      </c>
      <c r="N1439" s="3" t="s">
        <v>0</v>
      </c>
      <c r="O1439" s="3">
        <v>0</v>
      </c>
      <c r="P1439" s="3">
        <v>16</v>
      </c>
      <c r="Q1439" s="3" t="s">
        <v>60</v>
      </c>
      <c r="R1439" s="3" t="s">
        <v>61</v>
      </c>
      <c r="S1439" s="3">
        <v>74</v>
      </c>
      <c r="T1439" s="3">
        <v>7</v>
      </c>
      <c r="U1439" s="3">
        <v>67</v>
      </c>
      <c r="V1439" s="3">
        <v>18</v>
      </c>
      <c r="W1439" s="3">
        <v>1</v>
      </c>
      <c r="X1439" s="3" t="s">
        <v>1206</v>
      </c>
      <c r="Y1439" s="3">
        <v>0</v>
      </c>
      <c r="Z1439" s="3">
        <v>1</v>
      </c>
      <c r="AA1439" s="3">
        <v>1</v>
      </c>
      <c r="AB1439" s="3">
        <v>1</v>
      </c>
      <c r="AC1439" s="3">
        <v>9</v>
      </c>
      <c r="AD1439" s="3">
        <v>6</v>
      </c>
      <c r="AE1439" s="3">
        <v>14</v>
      </c>
      <c r="AF1439" s="3" t="s">
        <v>0</v>
      </c>
      <c r="AG1439" s="3" t="s">
        <v>49</v>
      </c>
    </row>
    <row r="1440" spans="1:33" ht="76.5" x14ac:dyDescent="0.2">
      <c r="A1440" s="4" t="str">
        <f>HYPERLINK("http://www.patentics.cn/invokexml.do?sf=ShowPatent&amp;spn=US8681771&amp;sv=55d1ad65d60db356c89416168ca8da89","US8681771")</f>
        <v>US8681771</v>
      </c>
      <c r="B1440" s="2" t="s">
        <v>6574</v>
      </c>
      <c r="C1440" s="2" t="s">
        <v>6575</v>
      </c>
      <c r="D1440" s="2" t="s">
        <v>346</v>
      </c>
      <c r="E1440" s="2" t="s">
        <v>346</v>
      </c>
      <c r="F1440" s="2" t="s">
        <v>6576</v>
      </c>
      <c r="G1440" s="2" t="s">
        <v>1204</v>
      </c>
      <c r="H1440" s="2" t="s">
        <v>6577</v>
      </c>
      <c r="I1440" s="2" t="s">
        <v>2520</v>
      </c>
      <c r="J1440" s="2" t="s">
        <v>158</v>
      </c>
      <c r="K1440" s="2" t="s">
        <v>70</v>
      </c>
      <c r="L1440" s="2" t="s">
        <v>1082</v>
      </c>
      <c r="M1440" s="2" t="s">
        <v>82</v>
      </c>
      <c r="N1440" s="2" t="s">
        <v>966</v>
      </c>
      <c r="O1440" s="2">
        <v>0</v>
      </c>
      <c r="P1440" s="2">
        <v>21</v>
      </c>
      <c r="Q1440" s="2" t="s">
        <v>60</v>
      </c>
      <c r="R1440" s="2" t="s">
        <v>47</v>
      </c>
      <c r="S1440" s="2">
        <v>2</v>
      </c>
      <c r="T1440" s="2">
        <v>0</v>
      </c>
      <c r="U1440" s="2">
        <v>2</v>
      </c>
      <c r="V1440" s="2">
        <v>1</v>
      </c>
      <c r="W1440" s="2">
        <v>2</v>
      </c>
      <c r="X1440" s="2" t="s">
        <v>1351</v>
      </c>
      <c r="Y1440" s="2">
        <v>0</v>
      </c>
      <c r="Z1440" s="2">
        <v>2</v>
      </c>
      <c r="AA1440" s="2">
        <v>1</v>
      </c>
      <c r="AB1440" s="2">
        <v>1</v>
      </c>
      <c r="AC1440" s="2">
        <v>7</v>
      </c>
      <c r="AD1440" s="2">
        <v>5</v>
      </c>
      <c r="AE1440" s="2" t="s">
        <v>0</v>
      </c>
      <c r="AF1440" s="2">
        <v>2</v>
      </c>
      <c r="AG1440" s="2" t="s">
        <v>49</v>
      </c>
    </row>
    <row r="1441" spans="1:33" ht="63.75" x14ac:dyDescent="0.2">
      <c r="A1441" s="5" t="str">
        <f>HYPERLINK("http://www.patentics.cn/invokexml.do?sf=ShowPatent&amp;spn=US9049630&amp;sv=54ecab554b9557a9fe01d09b888c0459","US9049630")</f>
        <v>US9049630</v>
      </c>
      <c r="B1441" s="3" t="s">
        <v>6578</v>
      </c>
      <c r="C1441" s="3" t="s">
        <v>6579</v>
      </c>
      <c r="D1441" s="3" t="s">
        <v>52</v>
      </c>
      <c r="E1441" s="3" t="s">
        <v>52</v>
      </c>
      <c r="F1441" s="3" t="s">
        <v>1457</v>
      </c>
      <c r="G1441" s="3" t="s">
        <v>1458</v>
      </c>
      <c r="H1441" s="3" t="s">
        <v>6457</v>
      </c>
      <c r="I1441" s="3" t="s">
        <v>1051</v>
      </c>
      <c r="J1441" s="3" t="s">
        <v>505</v>
      </c>
      <c r="K1441" s="3" t="s">
        <v>82</v>
      </c>
      <c r="L1441" s="3" t="s">
        <v>177</v>
      </c>
      <c r="M1441" s="3" t="s">
        <v>82</v>
      </c>
      <c r="N1441" s="3" t="s">
        <v>6580</v>
      </c>
      <c r="O1441" s="3">
        <v>0</v>
      </c>
      <c r="P1441" s="3">
        <v>17</v>
      </c>
      <c r="Q1441" s="3" t="s">
        <v>60</v>
      </c>
      <c r="R1441" s="3" t="s">
        <v>61</v>
      </c>
      <c r="S1441" s="3">
        <v>12</v>
      </c>
      <c r="T1441" s="3">
        <v>0</v>
      </c>
      <c r="U1441" s="3">
        <v>12</v>
      </c>
      <c r="V1441" s="3">
        <v>6</v>
      </c>
      <c r="W1441" s="3">
        <v>0</v>
      </c>
      <c r="X1441" s="3" t="s">
        <v>147</v>
      </c>
      <c r="Y1441" s="3">
        <v>0</v>
      </c>
      <c r="Z1441" s="3">
        <v>0</v>
      </c>
      <c r="AA1441" s="3">
        <v>0</v>
      </c>
      <c r="AB1441" s="3">
        <v>0</v>
      </c>
      <c r="AC1441" s="3">
        <v>6</v>
      </c>
      <c r="AD1441" s="3">
        <v>4</v>
      </c>
      <c r="AE1441" s="3">
        <v>14</v>
      </c>
      <c r="AF1441" s="3" t="s">
        <v>0</v>
      </c>
      <c r="AG1441" s="3" t="s">
        <v>49</v>
      </c>
    </row>
    <row r="1442" spans="1:33" ht="63.75" x14ac:dyDescent="0.2">
      <c r="A1442" s="5" t="str">
        <f>HYPERLINK("http://www.patentics.cn/invokexml.do?sf=ShowPatent&amp;spn=US9271203&amp;sv=74c80b279ecb4aa71681690a3fdacb7b","US9271203")</f>
        <v>US9271203</v>
      </c>
      <c r="B1442" s="3" t="s">
        <v>6581</v>
      </c>
      <c r="C1442" s="3" t="s">
        <v>6582</v>
      </c>
      <c r="D1442" s="3" t="s">
        <v>52</v>
      </c>
      <c r="E1442" s="3" t="s">
        <v>52</v>
      </c>
      <c r="F1442" s="3" t="s">
        <v>1457</v>
      </c>
      <c r="G1442" s="3" t="s">
        <v>1458</v>
      </c>
      <c r="H1442" s="3" t="s">
        <v>1280</v>
      </c>
      <c r="I1442" s="3" t="s">
        <v>1051</v>
      </c>
      <c r="J1442" s="3" t="s">
        <v>669</v>
      </c>
      <c r="K1442" s="3" t="s">
        <v>82</v>
      </c>
      <c r="L1442" s="3" t="s">
        <v>83</v>
      </c>
      <c r="M1442" s="3" t="s">
        <v>82</v>
      </c>
      <c r="N1442" s="3" t="s">
        <v>2830</v>
      </c>
      <c r="O1442" s="3">
        <v>0</v>
      </c>
      <c r="P1442" s="3">
        <v>27</v>
      </c>
      <c r="Q1442" s="3" t="s">
        <v>60</v>
      </c>
      <c r="R1442" s="3" t="s">
        <v>61</v>
      </c>
      <c r="S1442" s="3">
        <v>15</v>
      </c>
      <c r="T1442" s="3">
        <v>0</v>
      </c>
      <c r="U1442" s="3">
        <v>15</v>
      </c>
      <c r="V1442" s="3">
        <v>10</v>
      </c>
      <c r="W1442" s="3">
        <v>0</v>
      </c>
      <c r="X1442" s="3" t="s">
        <v>147</v>
      </c>
      <c r="Y1442" s="3">
        <v>0</v>
      </c>
      <c r="Z1442" s="3">
        <v>0</v>
      </c>
      <c r="AA1442" s="3">
        <v>0</v>
      </c>
      <c r="AB1442" s="3">
        <v>0</v>
      </c>
      <c r="AC1442" s="3">
        <v>4</v>
      </c>
      <c r="AD1442" s="3">
        <v>4</v>
      </c>
      <c r="AE1442" s="3">
        <v>14</v>
      </c>
      <c r="AF1442" s="3" t="s">
        <v>0</v>
      </c>
      <c r="AG1442" s="3" t="s">
        <v>49</v>
      </c>
    </row>
    <row r="1443" spans="1:33" ht="76.5" x14ac:dyDescent="0.2">
      <c r="A1443" s="4" t="str">
        <f>HYPERLINK("http://www.patentics.cn/invokexml.do?sf=ShowPatent&amp;spn=US8204025&amp;sv=2d8e147ff2ee9b84e8e41396069cc236","US8204025")</f>
        <v>US8204025</v>
      </c>
      <c r="B1443" s="2" t="s">
        <v>6583</v>
      </c>
      <c r="C1443" s="2" t="s">
        <v>6584</v>
      </c>
      <c r="D1443" s="2" t="s">
        <v>346</v>
      </c>
      <c r="E1443" s="2" t="s">
        <v>346</v>
      </c>
      <c r="F1443" s="2" t="s">
        <v>4236</v>
      </c>
      <c r="G1443" s="2" t="s">
        <v>1314</v>
      </c>
      <c r="H1443" s="2" t="s">
        <v>883</v>
      </c>
      <c r="I1443" s="2" t="s">
        <v>884</v>
      </c>
      <c r="J1443" s="2" t="s">
        <v>422</v>
      </c>
      <c r="K1443" s="2" t="s">
        <v>70</v>
      </c>
      <c r="L1443" s="2" t="s">
        <v>467</v>
      </c>
      <c r="M1443" s="2" t="s">
        <v>58</v>
      </c>
      <c r="N1443" s="2" t="s">
        <v>146</v>
      </c>
      <c r="O1443" s="2">
        <v>0</v>
      </c>
      <c r="P1443" s="2">
        <v>15</v>
      </c>
      <c r="Q1443" s="2" t="s">
        <v>60</v>
      </c>
      <c r="R1443" s="2" t="s">
        <v>61</v>
      </c>
      <c r="S1443" s="2">
        <v>12</v>
      </c>
      <c r="T1443" s="2">
        <v>1</v>
      </c>
      <c r="U1443" s="2">
        <v>11</v>
      </c>
      <c r="V1443" s="2">
        <v>9</v>
      </c>
      <c r="W1443" s="2">
        <v>16</v>
      </c>
      <c r="X1443" s="2" t="s">
        <v>6585</v>
      </c>
      <c r="Y1443" s="2">
        <v>5</v>
      </c>
      <c r="Z1443" s="2">
        <v>11</v>
      </c>
      <c r="AA1443" s="2">
        <v>5</v>
      </c>
      <c r="AB1443" s="2">
        <v>1</v>
      </c>
      <c r="AC1443" s="2">
        <v>18</v>
      </c>
      <c r="AD1443" s="2">
        <v>6</v>
      </c>
      <c r="AE1443" s="2" t="s">
        <v>0</v>
      </c>
      <c r="AF1443" s="2">
        <v>2</v>
      </c>
      <c r="AG1443" s="2" t="s">
        <v>49</v>
      </c>
    </row>
    <row r="1444" spans="1:33" ht="51" x14ac:dyDescent="0.2">
      <c r="A1444" s="5" t="str">
        <f>HYPERLINK("http://www.patentics.cn/invokexml.do?sf=ShowPatent&amp;spn=US8964536&amp;sv=dae1c0af460784901014341bb18098c0","US8964536")</f>
        <v>US8964536</v>
      </c>
      <c r="B1444" s="3" t="s">
        <v>6586</v>
      </c>
      <c r="C1444" s="3" t="s">
        <v>6587</v>
      </c>
      <c r="D1444" s="3" t="s">
        <v>52</v>
      </c>
      <c r="E1444" s="3" t="s">
        <v>52</v>
      </c>
      <c r="F1444" s="3" t="s">
        <v>6588</v>
      </c>
      <c r="G1444" s="3" t="s">
        <v>6589</v>
      </c>
      <c r="H1444" s="3" t="s">
        <v>3022</v>
      </c>
      <c r="I1444" s="3" t="s">
        <v>6590</v>
      </c>
      <c r="J1444" s="3" t="s">
        <v>805</v>
      </c>
      <c r="K1444" s="3" t="s">
        <v>58</v>
      </c>
      <c r="L1444" s="3" t="s">
        <v>613</v>
      </c>
      <c r="M1444" s="3" t="s">
        <v>82</v>
      </c>
      <c r="N1444" s="3" t="s">
        <v>1052</v>
      </c>
      <c r="O1444" s="3">
        <v>0</v>
      </c>
      <c r="P1444" s="3">
        <v>17</v>
      </c>
      <c r="Q1444" s="3" t="s">
        <v>60</v>
      </c>
      <c r="R1444" s="3" t="s">
        <v>61</v>
      </c>
      <c r="S1444" s="3">
        <v>23</v>
      </c>
      <c r="T1444" s="3">
        <v>2</v>
      </c>
      <c r="U1444" s="3">
        <v>21</v>
      </c>
      <c r="V1444" s="3">
        <v>11</v>
      </c>
      <c r="W1444" s="3">
        <v>1</v>
      </c>
      <c r="X1444" s="3" t="s">
        <v>74</v>
      </c>
      <c r="Y1444" s="3">
        <v>0</v>
      </c>
      <c r="Z1444" s="3">
        <v>1</v>
      </c>
      <c r="AA1444" s="3">
        <v>1</v>
      </c>
      <c r="AB1444" s="3">
        <v>1</v>
      </c>
      <c r="AC1444" s="3">
        <v>9</v>
      </c>
      <c r="AD1444" s="3">
        <v>6</v>
      </c>
      <c r="AE1444" s="3">
        <v>14</v>
      </c>
      <c r="AF1444" s="3" t="s">
        <v>0</v>
      </c>
      <c r="AG1444" s="3" t="s">
        <v>49</v>
      </c>
    </row>
    <row r="1445" spans="1:33" ht="127.5" x14ac:dyDescent="0.2">
      <c r="A1445" s="5" t="str">
        <f>HYPERLINK("http://www.patentics.cn/invokexml.do?sf=ShowPatent&amp;spn=US9209955&amp;sv=a89d3c2c6e643a15040a14ffa7860b6a","US9209955")</f>
        <v>US9209955</v>
      </c>
      <c r="B1445" s="3" t="s">
        <v>6591</v>
      </c>
      <c r="C1445" s="3" t="s">
        <v>6592</v>
      </c>
      <c r="D1445" s="3" t="s">
        <v>52</v>
      </c>
      <c r="E1445" s="3" t="s">
        <v>52</v>
      </c>
      <c r="F1445" s="3" t="s">
        <v>6593</v>
      </c>
      <c r="G1445" s="3" t="s">
        <v>6444</v>
      </c>
      <c r="H1445" s="3" t="s">
        <v>6594</v>
      </c>
      <c r="I1445" s="3" t="s">
        <v>6595</v>
      </c>
      <c r="J1445" s="3" t="s">
        <v>283</v>
      </c>
      <c r="K1445" s="3" t="s">
        <v>70</v>
      </c>
      <c r="L1445" s="3" t="s">
        <v>2535</v>
      </c>
      <c r="M1445" s="3" t="s">
        <v>58</v>
      </c>
      <c r="N1445" s="3" t="s">
        <v>6596</v>
      </c>
      <c r="O1445" s="3">
        <v>0</v>
      </c>
      <c r="P1445" s="3">
        <v>0</v>
      </c>
      <c r="Q1445" s="3" t="s">
        <v>60</v>
      </c>
      <c r="R1445" s="3" t="s">
        <v>61</v>
      </c>
      <c r="S1445" s="3">
        <v>24</v>
      </c>
      <c r="T1445" s="3">
        <v>3</v>
      </c>
      <c r="U1445" s="3">
        <v>21</v>
      </c>
      <c r="V1445" s="3">
        <v>14</v>
      </c>
      <c r="W1445" s="3">
        <v>0</v>
      </c>
      <c r="X1445" s="3" t="s">
        <v>147</v>
      </c>
      <c r="Y1445" s="3">
        <v>0</v>
      </c>
      <c r="Z1445" s="3">
        <v>0</v>
      </c>
      <c r="AA1445" s="3">
        <v>0</v>
      </c>
      <c r="AB1445" s="3">
        <v>0</v>
      </c>
      <c r="AC1445" s="3">
        <v>6</v>
      </c>
      <c r="AD1445" s="3">
        <v>6</v>
      </c>
      <c r="AE1445" s="3">
        <v>14</v>
      </c>
      <c r="AF1445" s="3" t="s">
        <v>0</v>
      </c>
      <c r="AG1445" s="3" t="s">
        <v>49</v>
      </c>
    </row>
    <row r="1446" spans="1:33" ht="38.25" x14ac:dyDescent="0.2">
      <c r="A1446" s="4" t="str">
        <f>HYPERLINK("http://www.patentics.cn/invokexml.do?sf=ShowPatent&amp;spn=US8200253&amp;sv=72e152e3653c01cd6b55f486dccfbea6","US8200253")</f>
        <v>US8200253</v>
      </c>
      <c r="B1446" s="2" t="s">
        <v>6597</v>
      </c>
      <c r="C1446" s="2" t="s">
        <v>6598</v>
      </c>
      <c r="D1446" s="2" t="s">
        <v>346</v>
      </c>
      <c r="E1446" s="2" t="s">
        <v>346</v>
      </c>
      <c r="F1446" s="2" t="s">
        <v>6599</v>
      </c>
      <c r="G1446" s="2" t="s">
        <v>6599</v>
      </c>
      <c r="H1446" s="2" t="s">
        <v>1336</v>
      </c>
      <c r="I1446" s="2" t="s">
        <v>5423</v>
      </c>
      <c r="J1446" s="2" t="s">
        <v>6600</v>
      </c>
      <c r="K1446" s="2" t="s">
        <v>82</v>
      </c>
      <c r="L1446" s="2" t="s">
        <v>827</v>
      </c>
      <c r="M1446" s="2" t="s">
        <v>82</v>
      </c>
      <c r="N1446" s="2" t="s">
        <v>2027</v>
      </c>
      <c r="O1446" s="2">
        <v>0</v>
      </c>
      <c r="P1446" s="2">
        <v>19</v>
      </c>
      <c r="Q1446" s="2" t="s">
        <v>60</v>
      </c>
      <c r="R1446" s="2" t="s">
        <v>47</v>
      </c>
      <c r="S1446" s="2">
        <v>14</v>
      </c>
      <c r="T1446" s="2">
        <v>0</v>
      </c>
      <c r="U1446" s="2">
        <v>14</v>
      </c>
      <c r="V1446" s="2">
        <v>5</v>
      </c>
      <c r="W1446" s="2">
        <v>9</v>
      </c>
      <c r="X1446" s="2" t="s">
        <v>4474</v>
      </c>
      <c r="Y1446" s="2">
        <v>0</v>
      </c>
      <c r="Z1446" s="2">
        <v>9</v>
      </c>
      <c r="AA1446" s="2">
        <v>2</v>
      </c>
      <c r="AB1446" s="2">
        <v>2</v>
      </c>
      <c r="AC1446" s="2">
        <v>4</v>
      </c>
      <c r="AD1446" s="2">
        <v>3</v>
      </c>
      <c r="AE1446" s="2" t="s">
        <v>0</v>
      </c>
      <c r="AF1446" s="2">
        <v>2</v>
      </c>
      <c r="AG1446" s="2" t="s">
        <v>49</v>
      </c>
    </row>
    <row r="1447" spans="1:33" ht="63.75" x14ac:dyDescent="0.2">
      <c r="A1447" s="5" t="str">
        <f>HYPERLINK("http://www.patentics.cn/invokexml.do?sf=ShowPatent&amp;spn=US9036502&amp;sv=bf52d17545ea3090bd2ecb3c2c477848","US9036502")</f>
        <v>US9036502</v>
      </c>
      <c r="B1447" s="3" t="s">
        <v>6601</v>
      </c>
      <c r="C1447" s="3" t="s">
        <v>6602</v>
      </c>
      <c r="D1447" s="3" t="s">
        <v>52</v>
      </c>
      <c r="E1447" s="3" t="s">
        <v>52</v>
      </c>
      <c r="F1447" s="3" t="s">
        <v>6603</v>
      </c>
      <c r="G1447" s="3" t="s">
        <v>3616</v>
      </c>
      <c r="H1447" s="3" t="s">
        <v>6604</v>
      </c>
      <c r="I1447" s="3" t="s">
        <v>6605</v>
      </c>
      <c r="J1447" s="3" t="s">
        <v>207</v>
      </c>
      <c r="K1447" s="3" t="s">
        <v>70</v>
      </c>
      <c r="L1447" s="3" t="s">
        <v>463</v>
      </c>
      <c r="M1447" s="3" t="s">
        <v>0</v>
      </c>
      <c r="N1447" s="3" t="s">
        <v>0</v>
      </c>
      <c r="O1447" s="3">
        <v>0</v>
      </c>
      <c r="P1447" s="3">
        <v>6</v>
      </c>
      <c r="Q1447" s="3" t="s">
        <v>60</v>
      </c>
      <c r="R1447" s="3" t="s">
        <v>61</v>
      </c>
      <c r="S1447" s="3">
        <v>32</v>
      </c>
      <c r="T1447" s="3">
        <v>14</v>
      </c>
      <c r="U1447" s="3">
        <v>18</v>
      </c>
      <c r="V1447" s="3">
        <v>11</v>
      </c>
      <c r="W1447" s="3">
        <v>6</v>
      </c>
      <c r="X1447" s="3" t="s">
        <v>147</v>
      </c>
      <c r="Y1447" s="3">
        <v>0</v>
      </c>
      <c r="Z1447" s="3">
        <v>6</v>
      </c>
      <c r="AA1447" s="3">
        <v>0</v>
      </c>
      <c r="AB1447" s="3">
        <v>1</v>
      </c>
      <c r="AC1447" s="3">
        <v>19</v>
      </c>
      <c r="AD1447" s="3">
        <v>9</v>
      </c>
      <c r="AE1447" s="3">
        <v>14</v>
      </c>
      <c r="AF1447" s="3" t="s">
        <v>0</v>
      </c>
      <c r="AG1447" s="3" t="s">
        <v>49</v>
      </c>
    </row>
    <row r="1448" spans="1:33" ht="76.5" x14ac:dyDescent="0.2">
      <c r="A1448" s="5" t="str">
        <f>HYPERLINK("http://www.patentics.cn/invokexml.do?sf=ShowPatent&amp;spn=US9131441&amp;sv=25bb0c1c7c06125b2a69395a252abb66","US9131441")</f>
        <v>US9131441</v>
      </c>
      <c r="B1448" s="3" t="s">
        <v>6606</v>
      </c>
      <c r="C1448" s="3" t="s">
        <v>6607</v>
      </c>
      <c r="D1448" s="3" t="s">
        <v>52</v>
      </c>
      <c r="E1448" s="3" t="s">
        <v>52</v>
      </c>
      <c r="F1448" s="3" t="s">
        <v>6608</v>
      </c>
      <c r="G1448" s="3" t="s">
        <v>6609</v>
      </c>
      <c r="H1448" s="3" t="s">
        <v>3338</v>
      </c>
      <c r="I1448" s="3" t="s">
        <v>3338</v>
      </c>
      <c r="J1448" s="3" t="s">
        <v>219</v>
      </c>
      <c r="K1448" s="3" t="s">
        <v>82</v>
      </c>
      <c r="L1448" s="3" t="s">
        <v>83</v>
      </c>
      <c r="M1448" s="3" t="s">
        <v>0</v>
      </c>
      <c r="N1448" s="3" t="s">
        <v>0</v>
      </c>
      <c r="O1448" s="3">
        <v>0</v>
      </c>
      <c r="P1448" s="3">
        <v>22</v>
      </c>
      <c r="Q1448" s="3" t="s">
        <v>60</v>
      </c>
      <c r="R1448" s="3" t="s">
        <v>61</v>
      </c>
      <c r="S1448" s="3">
        <v>14</v>
      </c>
      <c r="T1448" s="3">
        <v>1</v>
      </c>
      <c r="U1448" s="3">
        <v>13</v>
      </c>
      <c r="V1448" s="3">
        <v>8</v>
      </c>
      <c r="W1448" s="3">
        <v>0</v>
      </c>
      <c r="X1448" s="3" t="s">
        <v>147</v>
      </c>
      <c r="Y1448" s="3">
        <v>0</v>
      </c>
      <c r="Z1448" s="3">
        <v>0</v>
      </c>
      <c r="AA1448" s="3">
        <v>0</v>
      </c>
      <c r="AB1448" s="3">
        <v>0</v>
      </c>
      <c r="AC1448" s="3">
        <v>5</v>
      </c>
      <c r="AD1448" s="3">
        <v>5</v>
      </c>
      <c r="AE1448" s="3">
        <v>14</v>
      </c>
      <c r="AF1448" s="3" t="s">
        <v>0</v>
      </c>
      <c r="AG1448" s="3" t="s">
        <v>49</v>
      </c>
    </row>
    <row r="1449" spans="1:33" ht="102" x14ac:dyDescent="0.2">
      <c r="A1449" s="4" t="str">
        <f>HYPERLINK("http://www.patentics.cn/invokexml.do?sf=ShowPatent&amp;spn=US8116195&amp;sv=1f463db5e2637ca332a6dcbab9c7d90c","US8116195")</f>
        <v>US8116195</v>
      </c>
      <c r="B1449" s="2" t="s">
        <v>6610</v>
      </c>
      <c r="C1449" s="2" t="s">
        <v>6611</v>
      </c>
      <c r="D1449" s="2" t="s">
        <v>346</v>
      </c>
      <c r="E1449" s="2" t="s">
        <v>346</v>
      </c>
      <c r="F1449" s="2" t="s">
        <v>6612</v>
      </c>
      <c r="G1449" s="2" t="s">
        <v>6613</v>
      </c>
      <c r="H1449" s="2" t="s">
        <v>3472</v>
      </c>
      <c r="I1449" s="2" t="s">
        <v>3473</v>
      </c>
      <c r="J1449" s="2" t="s">
        <v>1230</v>
      </c>
      <c r="K1449" s="2" t="s">
        <v>70</v>
      </c>
      <c r="L1449" s="2" t="s">
        <v>71</v>
      </c>
      <c r="M1449" s="2" t="s">
        <v>70</v>
      </c>
      <c r="N1449" s="2" t="s">
        <v>6614</v>
      </c>
      <c r="O1449" s="2">
        <v>0</v>
      </c>
      <c r="P1449" s="2">
        <v>17</v>
      </c>
      <c r="Q1449" s="2" t="s">
        <v>60</v>
      </c>
      <c r="R1449" s="2" t="s">
        <v>61</v>
      </c>
      <c r="S1449" s="2">
        <v>25</v>
      </c>
      <c r="T1449" s="2">
        <v>1</v>
      </c>
      <c r="U1449" s="2">
        <v>24</v>
      </c>
      <c r="V1449" s="2">
        <v>18</v>
      </c>
      <c r="W1449" s="2">
        <v>26</v>
      </c>
      <c r="X1449" s="2" t="s">
        <v>6615</v>
      </c>
      <c r="Y1449" s="2">
        <v>0</v>
      </c>
      <c r="Z1449" s="2">
        <v>26</v>
      </c>
      <c r="AA1449" s="2">
        <v>7</v>
      </c>
      <c r="AB1449" s="2">
        <v>2</v>
      </c>
      <c r="AC1449" s="2">
        <v>10</v>
      </c>
      <c r="AD1449" s="2">
        <v>6</v>
      </c>
      <c r="AE1449" s="2" t="s">
        <v>0</v>
      </c>
      <c r="AF1449" s="2">
        <v>2</v>
      </c>
      <c r="AG1449" s="2" t="s">
        <v>755</v>
      </c>
    </row>
    <row r="1450" spans="1:33" ht="38.25" x14ac:dyDescent="0.2">
      <c r="A1450" s="5" t="str">
        <f>HYPERLINK("http://www.patentics.cn/invokexml.do?sf=ShowPatent&amp;spn=US8649401&amp;sv=d535edad25aa2bbead28d0c346c5d496","US8649401")</f>
        <v>US8649401</v>
      </c>
      <c r="B1450" s="3" t="s">
        <v>1345</v>
      </c>
      <c r="C1450" s="3" t="s">
        <v>1346</v>
      </c>
      <c r="D1450" s="3" t="s">
        <v>52</v>
      </c>
      <c r="E1450" s="3" t="s">
        <v>52</v>
      </c>
      <c r="F1450" s="3" t="s">
        <v>1347</v>
      </c>
      <c r="G1450" s="3" t="s">
        <v>924</v>
      </c>
      <c r="H1450" s="3" t="s">
        <v>1348</v>
      </c>
      <c r="I1450" s="3" t="s">
        <v>492</v>
      </c>
      <c r="J1450" s="3" t="s">
        <v>1349</v>
      </c>
      <c r="K1450" s="3" t="s">
        <v>70</v>
      </c>
      <c r="L1450" s="3" t="s">
        <v>1082</v>
      </c>
      <c r="M1450" s="3" t="s">
        <v>70</v>
      </c>
      <c r="N1450" s="3" t="s">
        <v>1350</v>
      </c>
      <c r="O1450" s="3">
        <v>0</v>
      </c>
      <c r="P1450" s="3">
        <v>6</v>
      </c>
      <c r="Q1450" s="3" t="s">
        <v>60</v>
      </c>
      <c r="R1450" s="3" t="s">
        <v>61</v>
      </c>
      <c r="S1450" s="3">
        <v>26</v>
      </c>
      <c r="T1450" s="3">
        <v>4</v>
      </c>
      <c r="U1450" s="3">
        <v>22</v>
      </c>
      <c r="V1450" s="3">
        <v>15</v>
      </c>
      <c r="W1450" s="3">
        <v>3</v>
      </c>
      <c r="X1450" s="3" t="s">
        <v>1351</v>
      </c>
      <c r="Y1450" s="3">
        <v>0</v>
      </c>
      <c r="Z1450" s="3">
        <v>3</v>
      </c>
      <c r="AA1450" s="3">
        <v>2</v>
      </c>
      <c r="AB1450" s="3">
        <v>1</v>
      </c>
      <c r="AC1450" s="3">
        <v>1</v>
      </c>
      <c r="AD1450" s="3">
        <v>1</v>
      </c>
      <c r="AE1450" s="3">
        <v>14</v>
      </c>
      <c r="AF1450" s="3" t="s">
        <v>0</v>
      </c>
      <c r="AG1450" s="3" t="s">
        <v>49</v>
      </c>
    </row>
    <row r="1451" spans="1:33" ht="63.75" x14ac:dyDescent="0.2">
      <c r="A1451" s="5" t="str">
        <f>HYPERLINK("http://www.patentics.cn/invokexml.do?sf=ShowPatent&amp;spn=US8842604&amp;sv=df7b5a1ec7bc08bd7fb34fbc511a50ec","US8842604")</f>
        <v>US8842604</v>
      </c>
      <c r="B1451" s="3" t="s">
        <v>6616</v>
      </c>
      <c r="C1451" s="3" t="s">
        <v>1024</v>
      </c>
      <c r="D1451" s="3" t="s">
        <v>52</v>
      </c>
      <c r="E1451" s="3" t="s">
        <v>52</v>
      </c>
      <c r="F1451" s="3" t="s">
        <v>6617</v>
      </c>
      <c r="G1451" s="3" t="s">
        <v>924</v>
      </c>
      <c r="H1451" s="3" t="s">
        <v>6618</v>
      </c>
      <c r="I1451" s="3" t="s">
        <v>963</v>
      </c>
      <c r="J1451" s="3" t="s">
        <v>183</v>
      </c>
      <c r="K1451" s="3" t="s">
        <v>82</v>
      </c>
      <c r="L1451" s="3" t="s">
        <v>83</v>
      </c>
      <c r="M1451" s="3" t="s">
        <v>58</v>
      </c>
      <c r="N1451" s="3" t="s">
        <v>335</v>
      </c>
      <c r="O1451" s="3">
        <v>0</v>
      </c>
      <c r="P1451" s="3">
        <v>15</v>
      </c>
      <c r="Q1451" s="3" t="s">
        <v>60</v>
      </c>
      <c r="R1451" s="3" t="s">
        <v>61</v>
      </c>
      <c r="S1451" s="3">
        <v>28</v>
      </c>
      <c r="T1451" s="3">
        <v>4</v>
      </c>
      <c r="U1451" s="3">
        <v>24</v>
      </c>
      <c r="V1451" s="3">
        <v>15</v>
      </c>
      <c r="W1451" s="3">
        <v>1</v>
      </c>
      <c r="X1451" s="3" t="s">
        <v>74</v>
      </c>
      <c r="Y1451" s="3">
        <v>0</v>
      </c>
      <c r="Z1451" s="3">
        <v>1</v>
      </c>
      <c r="AA1451" s="3">
        <v>1</v>
      </c>
      <c r="AB1451" s="3">
        <v>1</v>
      </c>
      <c r="AC1451" s="3">
        <v>6</v>
      </c>
      <c r="AD1451" s="3">
        <v>3</v>
      </c>
      <c r="AE1451" s="3">
        <v>14</v>
      </c>
      <c r="AF1451" s="3" t="s">
        <v>0</v>
      </c>
      <c r="AG1451" s="3" t="s">
        <v>49</v>
      </c>
    </row>
    <row r="1452" spans="1:33" ht="89.25" x14ac:dyDescent="0.2">
      <c r="A1452" s="4" t="str">
        <f>HYPERLINK("http://www.patentics.cn/invokexml.do?sf=ShowPatent&amp;spn=KR1020100106364&amp;sv=63aa4eb3ee8f641f290aec6180387c98","KR1020100106364")</f>
        <v>KR1020100106364</v>
      </c>
      <c r="B1452" s="2" t="s">
        <v>6619</v>
      </c>
      <c r="C1452" s="2" t="s">
        <v>6620</v>
      </c>
      <c r="D1452" s="2" t="s">
        <v>346</v>
      </c>
      <c r="E1452" s="2" t="s">
        <v>346</v>
      </c>
      <c r="F1452" s="2" t="s">
        <v>6621</v>
      </c>
      <c r="G1452" s="2" t="s">
        <v>6622</v>
      </c>
      <c r="H1452" s="2" t="s">
        <v>6623</v>
      </c>
      <c r="I1452" s="2" t="s">
        <v>884</v>
      </c>
      <c r="J1452" s="2" t="s">
        <v>4595</v>
      </c>
      <c r="K1452" s="2" t="s">
        <v>70</v>
      </c>
      <c r="L1452" s="2" t="s">
        <v>71</v>
      </c>
      <c r="M1452" s="2" t="s">
        <v>0</v>
      </c>
      <c r="N1452" s="2" t="s">
        <v>0</v>
      </c>
      <c r="O1452" s="2">
        <v>95</v>
      </c>
      <c r="P1452" s="2">
        <v>7</v>
      </c>
      <c r="Q1452" s="2" t="s">
        <v>352</v>
      </c>
      <c r="R1452" s="2" t="s">
        <v>61</v>
      </c>
      <c r="S1452" s="2">
        <v>0</v>
      </c>
      <c r="T1452" s="2">
        <v>0</v>
      </c>
      <c r="U1452" s="2">
        <v>0</v>
      </c>
      <c r="V1452" s="2">
        <v>0</v>
      </c>
      <c r="W1452" s="2">
        <v>7</v>
      </c>
      <c r="X1452" s="2" t="s">
        <v>6624</v>
      </c>
      <c r="Y1452" s="2">
        <v>0</v>
      </c>
      <c r="Z1452" s="2">
        <v>7</v>
      </c>
      <c r="AA1452" s="2">
        <v>3</v>
      </c>
      <c r="AB1452" s="2">
        <v>2</v>
      </c>
      <c r="AC1452" s="2">
        <v>18</v>
      </c>
      <c r="AD1452" s="2">
        <v>6</v>
      </c>
      <c r="AE1452" s="2" t="s">
        <v>0</v>
      </c>
      <c r="AF1452" s="2">
        <v>1</v>
      </c>
      <c r="AG1452" s="2" t="s">
        <v>0</v>
      </c>
    </row>
    <row r="1453" spans="1:33" ht="127.5" x14ac:dyDescent="0.2">
      <c r="A1453" s="5" t="str">
        <f>HYPERLINK("http://www.patentics.cn/invokexml.do?sf=ShowPatent&amp;spn=US9209955&amp;sv=a89d3c2c6e643a15040a14ffa7860b6a","US9209955")</f>
        <v>US9209955</v>
      </c>
      <c r="B1453" s="3" t="s">
        <v>6591</v>
      </c>
      <c r="C1453" s="3" t="s">
        <v>6592</v>
      </c>
      <c r="D1453" s="3" t="s">
        <v>52</v>
      </c>
      <c r="E1453" s="3" t="s">
        <v>52</v>
      </c>
      <c r="F1453" s="3" t="s">
        <v>6593</v>
      </c>
      <c r="G1453" s="3" t="s">
        <v>6444</v>
      </c>
      <c r="H1453" s="3" t="s">
        <v>6594</v>
      </c>
      <c r="I1453" s="3" t="s">
        <v>6595</v>
      </c>
      <c r="J1453" s="3" t="s">
        <v>283</v>
      </c>
      <c r="K1453" s="3" t="s">
        <v>70</v>
      </c>
      <c r="L1453" s="3" t="s">
        <v>2535</v>
      </c>
      <c r="M1453" s="3" t="s">
        <v>58</v>
      </c>
      <c r="N1453" s="3" t="s">
        <v>6596</v>
      </c>
      <c r="O1453" s="3">
        <v>0</v>
      </c>
      <c r="P1453" s="3">
        <v>0</v>
      </c>
      <c r="Q1453" s="3" t="s">
        <v>60</v>
      </c>
      <c r="R1453" s="3" t="s">
        <v>61</v>
      </c>
      <c r="S1453" s="3">
        <v>24</v>
      </c>
      <c r="T1453" s="3">
        <v>3</v>
      </c>
      <c r="U1453" s="3">
        <v>21</v>
      </c>
      <c r="V1453" s="3">
        <v>14</v>
      </c>
      <c r="W1453" s="3">
        <v>0</v>
      </c>
      <c r="X1453" s="3" t="s">
        <v>147</v>
      </c>
      <c r="Y1453" s="3">
        <v>0</v>
      </c>
      <c r="Z1453" s="3">
        <v>0</v>
      </c>
      <c r="AA1453" s="3">
        <v>0</v>
      </c>
      <c r="AB1453" s="3">
        <v>0</v>
      </c>
      <c r="AC1453" s="3">
        <v>6</v>
      </c>
      <c r="AD1453" s="3">
        <v>6</v>
      </c>
      <c r="AE1453" s="3">
        <v>14</v>
      </c>
      <c r="AF1453" s="3" t="s">
        <v>0</v>
      </c>
      <c r="AG1453" s="3" t="s">
        <v>49</v>
      </c>
    </row>
    <row r="1454" spans="1:33" ht="25.5" x14ac:dyDescent="0.2">
      <c r="A1454" s="4" t="str">
        <f>HYPERLINK("http://www.patentics.cn/invokexml.do?sf=ShowPatent&amp;spn=CN101729328B&amp;sv=f9ec0d19d676f3b54c2a493fc2cf9898","CN101729328B")</f>
        <v>CN101729328B</v>
      </c>
      <c r="B1454" s="2" t="s">
        <v>5155</v>
      </c>
      <c r="C1454" s="2" t="s">
        <v>5156</v>
      </c>
      <c r="D1454" s="2" t="s">
        <v>38</v>
      </c>
      <c r="E1454" s="2" t="s">
        <v>38</v>
      </c>
      <c r="F1454" s="2" t="s">
        <v>5157</v>
      </c>
      <c r="G1454" s="2" t="s">
        <v>5158</v>
      </c>
      <c r="H1454" s="2" t="s">
        <v>5159</v>
      </c>
      <c r="I1454" s="2" t="s">
        <v>5159</v>
      </c>
      <c r="J1454" s="2" t="s">
        <v>2667</v>
      </c>
      <c r="K1454" s="2" t="s">
        <v>58</v>
      </c>
      <c r="L1454" s="2" t="s">
        <v>289</v>
      </c>
      <c r="M1454" s="2" t="s">
        <v>0</v>
      </c>
      <c r="N1454" s="2" t="s">
        <v>0</v>
      </c>
      <c r="O1454" s="2">
        <v>9</v>
      </c>
      <c r="P1454" s="2">
        <v>18</v>
      </c>
      <c r="Q1454" s="2" t="s">
        <v>60</v>
      </c>
      <c r="R1454" s="2" t="s">
        <v>47</v>
      </c>
      <c r="S1454" s="2">
        <v>1</v>
      </c>
      <c r="T1454" s="2">
        <v>0</v>
      </c>
      <c r="U1454" s="2">
        <v>1</v>
      </c>
      <c r="V1454" s="2">
        <v>1</v>
      </c>
      <c r="W1454" s="2">
        <v>2</v>
      </c>
      <c r="X1454" s="2" t="s">
        <v>2120</v>
      </c>
      <c r="Y1454" s="2">
        <v>0</v>
      </c>
      <c r="Z1454" s="2">
        <v>2</v>
      </c>
      <c r="AA1454" s="2">
        <v>2</v>
      </c>
      <c r="AB1454" s="2">
        <v>1</v>
      </c>
      <c r="AC1454" s="2">
        <v>1</v>
      </c>
      <c r="AD1454" s="2">
        <v>1</v>
      </c>
      <c r="AE1454" s="2" t="s">
        <v>0</v>
      </c>
      <c r="AF1454" s="2">
        <v>1</v>
      </c>
      <c r="AG1454" s="2" t="s">
        <v>49</v>
      </c>
    </row>
    <row r="1455" spans="1:33" ht="76.5" x14ac:dyDescent="0.2">
      <c r="A1455" s="5" t="str">
        <f>HYPERLINK("http://www.patentics.cn/invokexml.do?sf=ShowPatent&amp;spn=TWI529540&amp;sv=24cfee43c7d2211dcc802f5f3ca91c5a","TWI529540")</f>
        <v>TWI529540</v>
      </c>
      <c r="B1455" s="3" t="s">
        <v>6625</v>
      </c>
      <c r="C1455" s="3" t="s">
        <v>6626</v>
      </c>
      <c r="D1455" s="3" t="s">
        <v>992</v>
      </c>
      <c r="E1455" s="3" t="s">
        <v>338</v>
      </c>
      <c r="F1455" s="3" t="s">
        <v>6627</v>
      </c>
      <c r="G1455" s="3" t="s">
        <v>6628</v>
      </c>
      <c r="H1455" s="3" t="s">
        <v>4920</v>
      </c>
      <c r="I1455" s="3" t="s">
        <v>6629</v>
      </c>
      <c r="J1455" s="3" t="s">
        <v>6630</v>
      </c>
      <c r="K1455" s="3" t="s">
        <v>555</v>
      </c>
      <c r="L1455" s="3" t="s">
        <v>1271</v>
      </c>
      <c r="M1455" s="3" t="s">
        <v>0</v>
      </c>
      <c r="N1455" s="3" t="s">
        <v>0</v>
      </c>
      <c r="O1455" s="3">
        <v>30</v>
      </c>
      <c r="P1455" s="3">
        <v>28</v>
      </c>
      <c r="Q1455" s="3" t="s">
        <v>60</v>
      </c>
      <c r="R1455" s="3" t="s">
        <v>1913</v>
      </c>
      <c r="S1455" s="3">
        <v>4</v>
      </c>
      <c r="T1455" s="3">
        <v>1</v>
      </c>
      <c r="U1455" s="3">
        <v>3</v>
      </c>
      <c r="V1455" s="3">
        <v>4</v>
      </c>
      <c r="W1455" s="3">
        <v>0</v>
      </c>
      <c r="X1455" s="3" t="s">
        <v>147</v>
      </c>
      <c r="Y1455" s="3">
        <v>0</v>
      </c>
      <c r="Z1455" s="3">
        <v>0</v>
      </c>
      <c r="AA1455" s="3">
        <v>0</v>
      </c>
      <c r="AB1455" s="3">
        <v>0</v>
      </c>
      <c r="AC1455" s="3">
        <v>0</v>
      </c>
      <c r="AD1455" s="3">
        <v>0</v>
      </c>
      <c r="AE1455" s="3">
        <v>14</v>
      </c>
      <c r="AF1455" s="3" t="s">
        <v>0</v>
      </c>
      <c r="AG1455" s="3" t="s">
        <v>0</v>
      </c>
    </row>
    <row r="1456" spans="1:33" ht="51" x14ac:dyDescent="0.2">
      <c r="A1456" s="4" t="str">
        <f>HYPERLINK("http://www.patentics.cn/invokexml.do?sf=ShowPatent&amp;spn=CN101267631B&amp;sv=7727ca9d8028f7a79a8a9c237f6565d8","CN101267631B")</f>
        <v>CN101267631B</v>
      </c>
      <c r="B1456" s="2" t="s">
        <v>6631</v>
      </c>
      <c r="C1456" s="2" t="s">
        <v>6632</v>
      </c>
      <c r="D1456" s="2" t="s">
        <v>38</v>
      </c>
      <c r="E1456" s="2" t="s">
        <v>38</v>
      </c>
      <c r="F1456" s="2" t="s">
        <v>6633</v>
      </c>
      <c r="G1456" s="2" t="s">
        <v>6634</v>
      </c>
      <c r="H1456" s="2" t="s">
        <v>2060</v>
      </c>
      <c r="I1456" s="2" t="s">
        <v>2060</v>
      </c>
      <c r="J1456" s="2" t="s">
        <v>6635</v>
      </c>
      <c r="K1456" s="2" t="s">
        <v>82</v>
      </c>
      <c r="L1456" s="2" t="s">
        <v>3293</v>
      </c>
      <c r="M1456" s="2" t="s">
        <v>0</v>
      </c>
      <c r="N1456" s="2" t="s">
        <v>0</v>
      </c>
      <c r="O1456" s="2">
        <v>5</v>
      </c>
      <c r="P1456" s="2">
        <v>22</v>
      </c>
      <c r="Q1456" s="2" t="s">
        <v>60</v>
      </c>
      <c r="R1456" s="2" t="s">
        <v>47</v>
      </c>
      <c r="S1456" s="2">
        <v>3</v>
      </c>
      <c r="T1456" s="2">
        <v>0</v>
      </c>
      <c r="U1456" s="2">
        <v>3</v>
      </c>
      <c r="V1456" s="2">
        <v>3</v>
      </c>
      <c r="W1456" s="2">
        <v>1</v>
      </c>
      <c r="X1456" s="2" t="s">
        <v>580</v>
      </c>
      <c r="Y1456" s="2">
        <v>0</v>
      </c>
      <c r="Z1456" s="2">
        <v>1</v>
      </c>
      <c r="AA1456" s="2">
        <v>1</v>
      </c>
      <c r="AB1456" s="2">
        <v>1</v>
      </c>
      <c r="AC1456" s="2">
        <v>1</v>
      </c>
      <c r="AD1456" s="2">
        <v>1</v>
      </c>
      <c r="AE1456" s="2" t="s">
        <v>0</v>
      </c>
      <c r="AF1456" s="2">
        <v>1</v>
      </c>
      <c r="AG1456" s="2" t="s">
        <v>49</v>
      </c>
    </row>
    <row r="1457" spans="1:33" ht="38.25" x14ac:dyDescent="0.2">
      <c r="A1457" s="5" t="str">
        <f>HYPERLINK("http://www.patentics.cn/invokexml.do?sf=ShowPatent&amp;spn=WO2016014184&amp;sv=f65adf7eec13cd0953e2cce88396f1d1","WO2016014184")</f>
        <v>WO2016014184</v>
      </c>
      <c r="B1457" s="3" t="s">
        <v>6636</v>
      </c>
      <c r="C1457" s="3" t="s">
        <v>6637</v>
      </c>
      <c r="D1457" s="3" t="s">
        <v>52</v>
      </c>
      <c r="E1457" s="3" t="s">
        <v>52</v>
      </c>
      <c r="F1457" s="3" t="s">
        <v>6638</v>
      </c>
      <c r="G1457" s="3" t="s">
        <v>6638</v>
      </c>
      <c r="H1457" s="3" t="s">
        <v>6639</v>
      </c>
      <c r="I1457" s="3" t="s">
        <v>6640</v>
      </c>
      <c r="J1457" s="3" t="s">
        <v>4980</v>
      </c>
      <c r="K1457" s="3" t="s">
        <v>82</v>
      </c>
      <c r="L1457" s="3" t="s">
        <v>6641</v>
      </c>
      <c r="M1457" s="3" t="s">
        <v>0</v>
      </c>
      <c r="N1457" s="3" t="s">
        <v>0</v>
      </c>
      <c r="O1457" s="3">
        <v>30</v>
      </c>
      <c r="P1457" s="3">
        <v>9</v>
      </c>
      <c r="Q1457" s="3" t="s">
        <v>352</v>
      </c>
      <c r="R1457" s="3" t="s">
        <v>61</v>
      </c>
      <c r="S1457" s="3">
        <v>6</v>
      </c>
      <c r="T1457" s="3">
        <v>0</v>
      </c>
      <c r="U1457" s="3">
        <v>6</v>
      </c>
      <c r="V1457" s="3">
        <v>6</v>
      </c>
      <c r="W1457" s="3">
        <v>0</v>
      </c>
      <c r="X1457" s="3" t="s">
        <v>147</v>
      </c>
      <c r="Y1457" s="3">
        <v>0</v>
      </c>
      <c r="Z1457" s="3">
        <v>0</v>
      </c>
      <c r="AA1457" s="3">
        <v>0</v>
      </c>
      <c r="AB1457" s="3">
        <v>0</v>
      </c>
      <c r="AC1457" s="3">
        <v>1</v>
      </c>
      <c r="AD1457" s="3">
        <v>2</v>
      </c>
      <c r="AE1457" s="3">
        <v>14</v>
      </c>
      <c r="AF1457" s="3" t="s">
        <v>0</v>
      </c>
      <c r="AG1457" s="3" t="s">
        <v>0</v>
      </c>
    </row>
    <row r="1458" spans="1:33" ht="89.25" x14ac:dyDescent="0.2">
      <c r="A1458" s="4" t="str">
        <f>HYPERLINK("http://www.patentics.cn/invokexml.do?sf=ShowPatent&amp;spn=WO2013135015&amp;sv=f1ffa54a2905ff1b6a26cea8a993c3ea","WO2013135015")</f>
        <v>WO2013135015</v>
      </c>
      <c r="B1458" s="2" t="s">
        <v>6642</v>
      </c>
      <c r="C1458" s="2" t="s">
        <v>6643</v>
      </c>
      <c r="D1458" s="2" t="s">
        <v>6644</v>
      </c>
      <c r="E1458" s="2" t="s">
        <v>6645</v>
      </c>
      <c r="F1458" s="2" t="s">
        <v>6646</v>
      </c>
      <c r="G1458" s="2" t="s">
        <v>6647</v>
      </c>
      <c r="H1458" s="2" t="s">
        <v>6648</v>
      </c>
      <c r="I1458" s="2" t="s">
        <v>422</v>
      </c>
      <c r="J1458" s="2" t="s">
        <v>4804</v>
      </c>
      <c r="K1458" s="2" t="s">
        <v>82</v>
      </c>
      <c r="L1458" s="2" t="s">
        <v>244</v>
      </c>
      <c r="M1458" s="2" t="s">
        <v>0</v>
      </c>
      <c r="N1458" s="2" t="s">
        <v>0</v>
      </c>
      <c r="O1458" s="2">
        <v>12</v>
      </c>
      <c r="P1458" s="2">
        <v>9</v>
      </c>
      <c r="Q1458" s="2" t="s">
        <v>352</v>
      </c>
      <c r="R1458" s="2" t="s">
        <v>47</v>
      </c>
      <c r="S1458" s="2">
        <v>4</v>
      </c>
      <c r="T1458" s="2">
        <v>0</v>
      </c>
      <c r="U1458" s="2">
        <v>4</v>
      </c>
      <c r="V1458" s="2">
        <v>3</v>
      </c>
      <c r="W1458" s="2">
        <v>1</v>
      </c>
      <c r="X1458" s="2" t="s">
        <v>1206</v>
      </c>
      <c r="Y1458" s="2">
        <v>0</v>
      </c>
      <c r="Z1458" s="2">
        <v>1</v>
      </c>
      <c r="AA1458" s="2">
        <v>1</v>
      </c>
      <c r="AB1458" s="2">
        <v>1</v>
      </c>
      <c r="AC1458" s="2">
        <v>1</v>
      </c>
      <c r="AD1458" s="2">
        <v>2</v>
      </c>
      <c r="AE1458" s="2" t="s">
        <v>0</v>
      </c>
      <c r="AF1458" s="2">
        <v>1</v>
      </c>
      <c r="AG1458" s="2" t="s">
        <v>0</v>
      </c>
    </row>
    <row r="1459" spans="1:33" ht="89.25" x14ac:dyDescent="0.2">
      <c r="A1459" s="5" t="str">
        <f>HYPERLINK("http://www.patentics.cn/invokexml.do?sf=ShowPatent&amp;spn=WO2015042431&amp;sv=8a60670e1ab1787dad7ea1ef62d1dcb0","WO2015042431")</f>
        <v>WO2015042431</v>
      </c>
      <c r="B1459" s="3" t="s">
        <v>6649</v>
      </c>
      <c r="C1459" s="3" t="s">
        <v>6650</v>
      </c>
      <c r="D1459" s="3" t="s">
        <v>52</v>
      </c>
      <c r="E1459" s="3" t="s">
        <v>52</v>
      </c>
      <c r="F1459" s="3" t="s">
        <v>6651</v>
      </c>
      <c r="G1459" s="3" t="s">
        <v>2724</v>
      </c>
      <c r="H1459" s="3" t="s">
        <v>6652</v>
      </c>
      <c r="I1459" s="3" t="s">
        <v>6653</v>
      </c>
      <c r="J1459" s="3" t="s">
        <v>6654</v>
      </c>
      <c r="K1459" s="3" t="s">
        <v>58</v>
      </c>
      <c r="L1459" s="3" t="s">
        <v>1980</v>
      </c>
      <c r="M1459" s="3" t="s">
        <v>0</v>
      </c>
      <c r="N1459" s="3" t="s">
        <v>0</v>
      </c>
      <c r="O1459" s="3">
        <v>30</v>
      </c>
      <c r="P1459" s="3">
        <v>7</v>
      </c>
      <c r="Q1459" s="3" t="s">
        <v>352</v>
      </c>
      <c r="R1459" s="3" t="s">
        <v>61</v>
      </c>
      <c r="S1459" s="3">
        <v>3</v>
      </c>
      <c r="T1459" s="3">
        <v>0</v>
      </c>
      <c r="U1459" s="3">
        <v>3</v>
      </c>
      <c r="V1459" s="3">
        <v>2</v>
      </c>
      <c r="W1459" s="3">
        <v>0</v>
      </c>
      <c r="X1459" s="3" t="s">
        <v>147</v>
      </c>
      <c r="Y1459" s="3">
        <v>0</v>
      </c>
      <c r="Z1459" s="3">
        <v>0</v>
      </c>
      <c r="AA1459" s="3">
        <v>0</v>
      </c>
      <c r="AB1459" s="3">
        <v>0</v>
      </c>
      <c r="AC1459" s="3">
        <v>1</v>
      </c>
      <c r="AD1459" s="3">
        <v>2</v>
      </c>
      <c r="AE1459" s="3">
        <v>14</v>
      </c>
      <c r="AF1459" s="3" t="s">
        <v>0</v>
      </c>
      <c r="AG1459" s="3" t="s">
        <v>0</v>
      </c>
    </row>
    <row r="1460" spans="1:33" ht="25.5" x14ac:dyDescent="0.2">
      <c r="A1460" s="4" t="str">
        <f>HYPERLINK("http://www.patentics.cn/invokexml.do?sf=ShowPatent&amp;spn=WO2013116131&amp;sv=a1a96fcc467c1e80026f4d1a1abd0be1","WO2013116131")</f>
        <v>WO2013116131</v>
      </c>
      <c r="B1460" s="2" t="s">
        <v>6655</v>
      </c>
      <c r="C1460" s="2" t="s">
        <v>6656</v>
      </c>
      <c r="D1460" s="2" t="s">
        <v>6657</v>
      </c>
      <c r="E1460" s="2" t="s">
        <v>6658</v>
      </c>
      <c r="F1460" s="2" t="s">
        <v>6659</v>
      </c>
      <c r="G1460" s="2" t="s">
        <v>6659</v>
      </c>
      <c r="H1460" s="2" t="s">
        <v>6660</v>
      </c>
      <c r="I1460" s="2" t="s">
        <v>6661</v>
      </c>
      <c r="J1460" s="2" t="s">
        <v>1437</v>
      </c>
      <c r="K1460" s="2" t="s">
        <v>58</v>
      </c>
      <c r="L1460" s="2" t="s">
        <v>1784</v>
      </c>
      <c r="M1460" s="2" t="s">
        <v>0</v>
      </c>
      <c r="N1460" s="2" t="s">
        <v>0</v>
      </c>
      <c r="O1460" s="2">
        <v>20</v>
      </c>
      <c r="P1460" s="2">
        <v>11</v>
      </c>
      <c r="Q1460" s="2" t="s">
        <v>352</v>
      </c>
      <c r="R1460" s="2" t="s">
        <v>61</v>
      </c>
      <c r="S1460" s="2">
        <v>5</v>
      </c>
      <c r="T1460" s="2">
        <v>0</v>
      </c>
      <c r="U1460" s="2">
        <v>5</v>
      </c>
      <c r="V1460" s="2">
        <v>4</v>
      </c>
      <c r="W1460" s="2">
        <v>1</v>
      </c>
      <c r="X1460" s="2" t="s">
        <v>1206</v>
      </c>
      <c r="Y1460" s="2">
        <v>0</v>
      </c>
      <c r="Z1460" s="2">
        <v>1</v>
      </c>
      <c r="AA1460" s="2">
        <v>1</v>
      </c>
      <c r="AB1460" s="2">
        <v>1</v>
      </c>
      <c r="AC1460" s="2">
        <v>6</v>
      </c>
      <c r="AD1460" s="2">
        <v>7</v>
      </c>
      <c r="AE1460" s="2" t="s">
        <v>0</v>
      </c>
      <c r="AF1460" s="2">
        <v>1</v>
      </c>
      <c r="AG1460" s="2" t="s">
        <v>0</v>
      </c>
    </row>
    <row r="1461" spans="1:33" ht="89.25" x14ac:dyDescent="0.2">
      <c r="A1461" s="5" t="str">
        <f>HYPERLINK("http://www.patentics.cn/invokexml.do?sf=ShowPatent&amp;spn=WO2015042431&amp;sv=8a60670e1ab1787dad7ea1ef62d1dcb0","WO2015042431")</f>
        <v>WO2015042431</v>
      </c>
      <c r="B1461" s="3" t="s">
        <v>6649</v>
      </c>
      <c r="C1461" s="3" t="s">
        <v>6650</v>
      </c>
      <c r="D1461" s="3" t="s">
        <v>52</v>
      </c>
      <c r="E1461" s="3" t="s">
        <v>52</v>
      </c>
      <c r="F1461" s="3" t="s">
        <v>6651</v>
      </c>
      <c r="G1461" s="3" t="s">
        <v>2724</v>
      </c>
      <c r="H1461" s="3" t="s">
        <v>6652</v>
      </c>
      <c r="I1461" s="3" t="s">
        <v>6653</v>
      </c>
      <c r="J1461" s="3" t="s">
        <v>6654</v>
      </c>
      <c r="K1461" s="3" t="s">
        <v>58</v>
      </c>
      <c r="L1461" s="3" t="s">
        <v>1980</v>
      </c>
      <c r="M1461" s="3" t="s">
        <v>0</v>
      </c>
      <c r="N1461" s="3" t="s">
        <v>0</v>
      </c>
      <c r="O1461" s="3">
        <v>30</v>
      </c>
      <c r="P1461" s="3">
        <v>7</v>
      </c>
      <c r="Q1461" s="3" t="s">
        <v>352</v>
      </c>
      <c r="R1461" s="3" t="s">
        <v>61</v>
      </c>
      <c r="S1461" s="3">
        <v>3</v>
      </c>
      <c r="T1461" s="3">
        <v>0</v>
      </c>
      <c r="U1461" s="3">
        <v>3</v>
      </c>
      <c r="V1461" s="3">
        <v>2</v>
      </c>
      <c r="W1461" s="3">
        <v>0</v>
      </c>
      <c r="X1461" s="3" t="s">
        <v>147</v>
      </c>
      <c r="Y1461" s="3">
        <v>0</v>
      </c>
      <c r="Z1461" s="3">
        <v>0</v>
      </c>
      <c r="AA1461" s="3">
        <v>0</v>
      </c>
      <c r="AB1461" s="3">
        <v>0</v>
      </c>
      <c r="AC1461" s="3">
        <v>1</v>
      </c>
      <c r="AD1461" s="3">
        <v>2</v>
      </c>
      <c r="AE1461" s="3">
        <v>14</v>
      </c>
      <c r="AF1461" s="3" t="s">
        <v>0</v>
      </c>
      <c r="AG1461" s="3" t="s">
        <v>0</v>
      </c>
    </row>
    <row r="1462" spans="1:33" ht="51" x14ac:dyDescent="0.2">
      <c r="A1462" s="4" t="str">
        <f>HYPERLINK("http://www.patentics.cn/invokexml.do?sf=ShowPatent&amp;spn=WO2013010408&amp;sv=597320f7e000a66bab59adec6dbeabf0","WO2013010408")</f>
        <v>WO2013010408</v>
      </c>
      <c r="B1462" s="2" t="s">
        <v>6662</v>
      </c>
      <c r="C1462" s="2" t="s">
        <v>6663</v>
      </c>
      <c r="D1462" s="2" t="s">
        <v>6664</v>
      </c>
      <c r="E1462" s="2" t="s">
        <v>6664</v>
      </c>
      <c r="F1462" s="2" t="s">
        <v>6665</v>
      </c>
      <c r="G1462" s="2" t="s">
        <v>6666</v>
      </c>
      <c r="H1462" s="2" t="s">
        <v>6667</v>
      </c>
      <c r="I1462" s="2" t="s">
        <v>6668</v>
      </c>
      <c r="J1462" s="2" t="s">
        <v>1773</v>
      </c>
      <c r="K1462" s="2" t="s">
        <v>82</v>
      </c>
      <c r="L1462" s="2" t="s">
        <v>244</v>
      </c>
      <c r="M1462" s="2" t="s">
        <v>0</v>
      </c>
      <c r="N1462" s="2" t="s">
        <v>0</v>
      </c>
      <c r="O1462" s="2">
        <v>12</v>
      </c>
      <c r="P1462" s="2">
        <v>21</v>
      </c>
      <c r="Q1462" s="2" t="s">
        <v>352</v>
      </c>
      <c r="R1462" s="2" t="s">
        <v>47</v>
      </c>
      <c r="S1462" s="2">
        <v>6</v>
      </c>
      <c r="T1462" s="2">
        <v>1</v>
      </c>
      <c r="U1462" s="2">
        <v>5</v>
      </c>
      <c r="V1462" s="2">
        <v>5</v>
      </c>
      <c r="W1462" s="2">
        <v>1</v>
      </c>
      <c r="X1462" s="2" t="s">
        <v>933</v>
      </c>
      <c r="Y1462" s="2">
        <v>0</v>
      </c>
      <c r="Z1462" s="2">
        <v>1</v>
      </c>
      <c r="AA1462" s="2">
        <v>1</v>
      </c>
      <c r="AB1462" s="2">
        <v>1</v>
      </c>
      <c r="AC1462" s="2">
        <v>1</v>
      </c>
      <c r="AD1462" s="2">
        <v>2</v>
      </c>
      <c r="AE1462" s="2" t="s">
        <v>0</v>
      </c>
      <c r="AF1462" s="2">
        <v>1</v>
      </c>
      <c r="AG1462" s="2" t="s">
        <v>0</v>
      </c>
    </row>
    <row r="1463" spans="1:33" ht="153" x14ac:dyDescent="0.2">
      <c r="A1463" s="5" t="str">
        <f>HYPERLINK("http://www.patentics.cn/invokexml.do?sf=ShowPatent&amp;spn=WO2015119996&amp;sv=3a44cbe735ee2a1888af2f9be8605736","WO2015119996")</f>
        <v>WO2015119996</v>
      </c>
      <c r="B1463" s="3" t="s">
        <v>6669</v>
      </c>
      <c r="C1463" s="3" t="s">
        <v>6670</v>
      </c>
      <c r="D1463" s="3" t="s">
        <v>52</v>
      </c>
      <c r="E1463" s="3" t="s">
        <v>52</v>
      </c>
      <c r="F1463" s="3" t="s">
        <v>6671</v>
      </c>
      <c r="G1463" s="3" t="s">
        <v>6672</v>
      </c>
      <c r="H1463" s="3" t="s">
        <v>152</v>
      </c>
      <c r="I1463" s="3" t="s">
        <v>6673</v>
      </c>
      <c r="J1463" s="3" t="s">
        <v>6674</v>
      </c>
      <c r="K1463" s="3" t="s">
        <v>58</v>
      </c>
      <c r="L1463" s="3" t="s">
        <v>188</v>
      </c>
      <c r="M1463" s="3" t="s">
        <v>0</v>
      </c>
      <c r="N1463" s="3" t="s">
        <v>0</v>
      </c>
      <c r="O1463" s="3">
        <v>30</v>
      </c>
      <c r="P1463" s="3">
        <v>13</v>
      </c>
      <c r="Q1463" s="3" t="s">
        <v>352</v>
      </c>
      <c r="R1463" s="3" t="s">
        <v>61</v>
      </c>
      <c r="S1463" s="3">
        <v>4</v>
      </c>
      <c r="T1463" s="3">
        <v>0</v>
      </c>
      <c r="U1463" s="3">
        <v>4</v>
      </c>
      <c r="V1463" s="3">
        <v>4</v>
      </c>
      <c r="W1463" s="3">
        <v>0</v>
      </c>
      <c r="X1463" s="3" t="s">
        <v>147</v>
      </c>
      <c r="Y1463" s="3">
        <v>0</v>
      </c>
      <c r="Z1463" s="3">
        <v>0</v>
      </c>
      <c r="AA1463" s="3">
        <v>0</v>
      </c>
      <c r="AB1463" s="3">
        <v>0</v>
      </c>
      <c r="AC1463" s="3">
        <v>1</v>
      </c>
      <c r="AD1463" s="3">
        <v>2</v>
      </c>
      <c r="AE1463" s="3">
        <v>14</v>
      </c>
      <c r="AF1463" s="3" t="s">
        <v>0</v>
      </c>
      <c r="AG1463" s="3" t="s">
        <v>0</v>
      </c>
    </row>
    <row r="1464" spans="1:33" ht="38.25" x14ac:dyDescent="0.2">
      <c r="A1464" s="4" t="str">
        <f>HYPERLINK("http://www.patentics.cn/invokexml.do?sf=ShowPatent&amp;spn=WO2013000260&amp;sv=70b4a6b8c77310f3216f404725988dbd","WO2013000260")</f>
        <v>WO2013000260</v>
      </c>
      <c r="B1464" s="2" t="s">
        <v>6675</v>
      </c>
      <c r="C1464" s="2" t="s">
        <v>6676</v>
      </c>
      <c r="D1464" s="2" t="s">
        <v>6677</v>
      </c>
      <c r="E1464" s="2" t="s">
        <v>6677</v>
      </c>
      <c r="F1464" s="2" t="s">
        <v>6678</v>
      </c>
      <c r="G1464" s="2" t="s">
        <v>6679</v>
      </c>
      <c r="H1464" s="2" t="s">
        <v>6680</v>
      </c>
      <c r="I1464" s="2" t="s">
        <v>6159</v>
      </c>
      <c r="J1464" s="2" t="s">
        <v>6681</v>
      </c>
      <c r="K1464" s="2" t="s">
        <v>84</v>
      </c>
      <c r="L1464" s="2" t="s">
        <v>506</v>
      </c>
      <c r="M1464" s="2" t="s">
        <v>0</v>
      </c>
      <c r="N1464" s="2" t="s">
        <v>0</v>
      </c>
      <c r="O1464" s="2">
        <v>7</v>
      </c>
      <c r="P1464" s="2">
        <v>8</v>
      </c>
      <c r="Q1464" s="2" t="s">
        <v>352</v>
      </c>
      <c r="R1464" s="2" t="s">
        <v>47</v>
      </c>
      <c r="S1464" s="2">
        <v>5</v>
      </c>
      <c r="T1464" s="2">
        <v>1</v>
      </c>
      <c r="U1464" s="2">
        <v>4</v>
      </c>
      <c r="V1464" s="2">
        <v>5</v>
      </c>
      <c r="W1464" s="2">
        <v>1</v>
      </c>
      <c r="X1464" s="2" t="s">
        <v>1186</v>
      </c>
      <c r="Y1464" s="2">
        <v>0</v>
      </c>
      <c r="Z1464" s="2">
        <v>1</v>
      </c>
      <c r="AA1464" s="2">
        <v>1</v>
      </c>
      <c r="AB1464" s="2">
        <v>1</v>
      </c>
      <c r="AC1464" s="2">
        <v>2</v>
      </c>
      <c r="AD1464" s="2">
        <v>3</v>
      </c>
      <c r="AE1464" s="2" t="s">
        <v>0</v>
      </c>
      <c r="AF1464" s="2">
        <v>1</v>
      </c>
      <c r="AG1464" s="2" t="s">
        <v>0</v>
      </c>
    </row>
    <row r="1465" spans="1:33" ht="25.5" x14ac:dyDescent="0.2">
      <c r="A1465" s="5" t="str">
        <f>HYPERLINK("http://www.patentics.cn/invokexml.do?sf=ShowPatent&amp;spn=US9497002&amp;sv=c4568d8ce9d2f5592460fb5b64edd3ad","US9497002")</f>
        <v>US9497002</v>
      </c>
      <c r="B1465" s="3" t="s">
        <v>2570</v>
      </c>
      <c r="C1465" s="3" t="s">
        <v>2571</v>
      </c>
      <c r="D1465" s="3" t="s">
        <v>52</v>
      </c>
      <c r="E1465" s="3" t="s">
        <v>52</v>
      </c>
      <c r="F1465" s="3" t="s">
        <v>2572</v>
      </c>
      <c r="G1465" s="3" t="s">
        <v>2572</v>
      </c>
      <c r="H1465" s="3" t="s">
        <v>2126</v>
      </c>
      <c r="I1465" s="3" t="s">
        <v>2573</v>
      </c>
      <c r="J1465" s="3" t="s">
        <v>1677</v>
      </c>
      <c r="K1465" s="3" t="s">
        <v>84</v>
      </c>
      <c r="L1465" s="3" t="s">
        <v>135</v>
      </c>
      <c r="M1465" s="3" t="s">
        <v>58</v>
      </c>
      <c r="N1465" s="3" t="s">
        <v>335</v>
      </c>
      <c r="O1465" s="3">
        <v>0</v>
      </c>
      <c r="P1465" s="3">
        <v>13</v>
      </c>
      <c r="Q1465" s="3" t="s">
        <v>60</v>
      </c>
      <c r="R1465" s="3" t="s">
        <v>47</v>
      </c>
      <c r="S1465" s="3">
        <v>14</v>
      </c>
      <c r="T1465" s="3">
        <v>0</v>
      </c>
      <c r="U1465" s="3">
        <v>14</v>
      </c>
      <c r="V1465" s="3">
        <v>9</v>
      </c>
      <c r="W1465" s="3">
        <v>0</v>
      </c>
      <c r="X1465" s="3" t="s">
        <v>147</v>
      </c>
      <c r="Y1465" s="3">
        <v>0</v>
      </c>
      <c r="Z1465" s="3">
        <v>0</v>
      </c>
      <c r="AA1465" s="3">
        <v>0</v>
      </c>
      <c r="AB1465" s="3">
        <v>0</v>
      </c>
      <c r="AC1465" s="3">
        <v>7</v>
      </c>
      <c r="AD1465" s="3">
        <v>6</v>
      </c>
      <c r="AE1465" s="3">
        <v>14</v>
      </c>
      <c r="AF1465" s="3" t="s">
        <v>0</v>
      </c>
      <c r="AG1465" s="3" t="s">
        <v>49</v>
      </c>
    </row>
    <row r="1466" spans="1:33" ht="38.25" x14ac:dyDescent="0.2">
      <c r="A1466" s="4" t="str">
        <f>HYPERLINK("http://www.patentics.cn/invokexml.do?sf=ShowPatent&amp;spn=WO2012097589&amp;sv=60309e57acc3c02dbb6d93cb8ddc63dc","WO2012097589")</f>
        <v>WO2012097589</v>
      </c>
      <c r="B1466" s="2" t="s">
        <v>6682</v>
      </c>
      <c r="C1466" s="2" t="s">
        <v>6683</v>
      </c>
      <c r="D1466" s="2" t="s">
        <v>6684</v>
      </c>
      <c r="E1466" s="2" t="s">
        <v>6684</v>
      </c>
      <c r="F1466" s="2" t="s">
        <v>6685</v>
      </c>
      <c r="G1466" s="2" t="s">
        <v>6686</v>
      </c>
      <c r="H1466" s="2" t="s">
        <v>6687</v>
      </c>
      <c r="I1466" s="2" t="s">
        <v>6688</v>
      </c>
      <c r="J1466" s="2" t="s">
        <v>5110</v>
      </c>
      <c r="K1466" s="2" t="s">
        <v>82</v>
      </c>
      <c r="L1466" s="2" t="s">
        <v>1431</v>
      </c>
      <c r="M1466" s="2" t="s">
        <v>0</v>
      </c>
      <c r="N1466" s="2" t="s">
        <v>0</v>
      </c>
      <c r="O1466" s="2">
        <v>6</v>
      </c>
      <c r="P1466" s="2">
        <v>14</v>
      </c>
      <c r="Q1466" s="2" t="s">
        <v>352</v>
      </c>
      <c r="R1466" s="2" t="s">
        <v>47</v>
      </c>
      <c r="S1466" s="2">
        <v>2</v>
      </c>
      <c r="T1466" s="2">
        <v>0</v>
      </c>
      <c r="U1466" s="2">
        <v>2</v>
      </c>
      <c r="V1466" s="2">
        <v>1</v>
      </c>
      <c r="W1466" s="2">
        <v>8</v>
      </c>
      <c r="X1466" s="2" t="s">
        <v>189</v>
      </c>
      <c r="Y1466" s="2">
        <v>0</v>
      </c>
      <c r="Z1466" s="2">
        <v>8</v>
      </c>
      <c r="AA1466" s="2">
        <v>1</v>
      </c>
      <c r="AB1466" s="2">
        <v>2</v>
      </c>
      <c r="AC1466" s="2">
        <v>8</v>
      </c>
      <c r="AD1466" s="2">
        <v>6</v>
      </c>
      <c r="AE1466" s="2" t="s">
        <v>0</v>
      </c>
      <c r="AF1466" s="2">
        <v>1</v>
      </c>
      <c r="AG1466" s="2" t="s">
        <v>0</v>
      </c>
    </row>
    <row r="1467" spans="1:33" ht="38.25" x14ac:dyDescent="0.2">
      <c r="A1467" s="5" t="str">
        <f>HYPERLINK("http://www.patentics.cn/invokexml.do?sf=ShowPatent&amp;spn=US9591460&amp;sv=31c3cf6188a2f395f2ba41e2b83b1d65","US9591460")</f>
        <v>US9591460</v>
      </c>
      <c r="B1467" s="3" t="s">
        <v>6689</v>
      </c>
      <c r="C1467" s="3" t="s">
        <v>6690</v>
      </c>
      <c r="D1467" s="3" t="s">
        <v>52</v>
      </c>
      <c r="E1467" s="3" t="s">
        <v>52</v>
      </c>
      <c r="F1467" s="3" t="s">
        <v>6691</v>
      </c>
      <c r="G1467" s="3" t="s">
        <v>6691</v>
      </c>
      <c r="H1467" s="3" t="s">
        <v>6692</v>
      </c>
      <c r="I1467" s="3" t="s">
        <v>5902</v>
      </c>
      <c r="J1467" s="3" t="s">
        <v>2406</v>
      </c>
      <c r="K1467" s="3" t="s">
        <v>82</v>
      </c>
      <c r="L1467" s="3" t="s">
        <v>1767</v>
      </c>
      <c r="M1467" s="3" t="s">
        <v>82</v>
      </c>
      <c r="N1467" s="3" t="s">
        <v>1649</v>
      </c>
      <c r="O1467" s="3">
        <v>0</v>
      </c>
      <c r="P1467" s="3">
        <v>19</v>
      </c>
      <c r="Q1467" s="3" t="s">
        <v>60</v>
      </c>
      <c r="R1467" s="3" t="s">
        <v>61</v>
      </c>
      <c r="S1467" s="3">
        <v>20</v>
      </c>
      <c r="T1467" s="3">
        <v>2</v>
      </c>
      <c r="U1467" s="3">
        <v>18</v>
      </c>
      <c r="V1467" s="3">
        <v>12</v>
      </c>
      <c r="W1467" s="3">
        <v>0</v>
      </c>
      <c r="X1467" s="3" t="s">
        <v>147</v>
      </c>
      <c r="Y1467" s="3">
        <v>0</v>
      </c>
      <c r="Z1467" s="3">
        <v>0</v>
      </c>
      <c r="AA1467" s="3">
        <v>0</v>
      </c>
      <c r="AB1467" s="3">
        <v>0</v>
      </c>
      <c r="AC1467" s="3">
        <v>2</v>
      </c>
      <c r="AD1467" s="3">
        <v>2</v>
      </c>
      <c r="AE1467" s="3">
        <v>14</v>
      </c>
      <c r="AF1467" s="3" t="s">
        <v>0</v>
      </c>
      <c r="AG1467" s="3" t="s">
        <v>49</v>
      </c>
    </row>
    <row r="1468" spans="1:33" ht="51" x14ac:dyDescent="0.2">
      <c r="A1468" s="4" t="str">
        <f>HYPERLINK("http://www.patentics.cn/invokexml.do?sf=ShowPatent&amp;spn=WO2012068863&amp;sv=8b02607612e8d693a8857bbcfe163083","WO2012068863")</f>
        <v>WO2012068863</v>
      </c>
      <c r="B1468" s="2" t="s">
        <v>6693</v>
      </c>
      <c r="C1468" s="2" t="s">
        <v>6694</v>
      </c>
      <c r="D1468" s="2" t="s">
        <v>6695</v>
      </c>
      <c r="E1468" s="2" t="s">
        <v>6695</v>
      </c>
      <c r="F1468" s="2" t="s">
        <v>6696</v>
      </c>
      <c r="G1468" s="2" t="s">
        <v>6697</v>
      </c>
      <c r="H1468" s="2" t="s">
        <v>6698</v>
      </c>
      <c r="I1468" s="2" t="s">
        <v>6699</v>
      </c>
      <c r="J1468" s="2" t="s">
        <v>6700</v>
      </c>
      <c r="K1468" s="2" t="s">
        <v>84</v>
      </c>
      <c r="L1468" s="2" t="s">
        <v>506</v>
      </c>
      <c r="M1468" s="2" t="s">
        <v>0</v>
      </c>
      <c r="N1468" s="2" t="s">
        <v>0</v>
      </c>
      <c r="O1468" s="2">
        <v>3</v>
      </c>
      <c r="P1468" s="2">
        <v>29</v>
      </c>
      <c r="Q1468" s="2" t="s">
        <v>352</v>
      </c>
      <c r="R1468" s="2" t="s">
        <v>47</v>
      </c>
      <c r="S1468" s="2">
        <v>5</v>
      </c>
      <c r="T1468" s="2">
        <v>0</v>
      </c>
      <c r="U1468" s="2">
        <v>5</v>
      </c>
      <c r="V1468" s="2">
        <v>3</v>
      </c>
      <c r="W1468" s="2">
        <v>1</v>
      </c>
      <c r="X1468" s="2" t="s">
        <v>74</v>
      </c>
      <c r="Y1468" s="2">
        <v>0</v>
      </c>
      <c r="Z1468" s="2">
        <v>1</v>
      </c>
      <c r="AA1468" s="2">
        <v>1</v>
      </c>
      <c r="AB1468" s="2">
        <v>1</v>
      </c>
      <c r="AC1468" s="2">
        <v>1</v>
      </c>
      <c r="AD1468" s="2">
        <v>2</v>
      </c>
      <c r="AE1468" s="2" t="s">
        <v>0</v>
      </c>
      <c r="AF1468" s="2">
        <v>1</v>
      </c>
      <c r="AG1468" s="2" t="s">
        <v>0</v>
      </c>
    </row>
    <row r="1469" spans="1:33" ht="25.5" x14ac:dyDescent="0.2">
      <c r="A1469" s="5" t="str">
        <f>HYPERLINK("http://www.patentics.cn/invokexml.do?sf=ShowPatent&amp;spn=US9602313&amp;sv=dbb31876999a4aac86010e2afc129b23","US9602313")</f>
        <v>US9602313</v>
      </c>
      <c r="B1469" s="3" t="s">
        <v>6701</v>
      </c>
      <c r="C1469" s="3" t="s">
        <v>6702</v>
      </c>
      <c r="D1469" s="3" t="s">
        <v>52</v>
      </c>
      <c r="E1469" s="3" t="s">
        <v>52</v>
      </c>
      <c r="F1469" s="3" t="s">
        <v>6703</v>
      </c>
      <c r="G1469" s="3" t="s">
        <v>6703</v>
      </c>
      <c r="H1469" s="3" t="s">
        <v>0</v>
      </c>
      <c r="I1469" s="3" t="s">
        <v>816</v>
      </c>
      <c r="J1469" s="3" t="s">
        <v>739</v>
      </c>
      <c r="K1469" s="3" t="s">
        <v>58</v>
      </c>
      <c r="L1469" s="3" t="s">
        <v>4713</v>
      </c>
      <c r="M1469" s="3" t="s">
        <v>58</v>
      </c>
      <c r="N1469" s="3" t="s">
        <v>6704</v>
      </c>
      <c r="O1469" s="3">
        <v>0</v>
      </c>
      <c r="P1469" s="3">
        <v>12</v>
      </c>
      <c r="Q1469" s="3" t="s">
        <v>60</v>
      </c>
      <c r="R1469" s="3" t="s">
        <v>61</v>
      </c>
      <c r="S1469" s="3">
        <v>30</v>
      </c>
      <c r="T1469" s="3">
        <v>9</v>
      </c>
      <c r="U1469" s="3">
        <v>21</v>
      </c>
      <c r="V1469" s="3">
        <v>12</v>
      </c>
      <c r="W1469" s="3">
        <v>0</v>
      </c>
      <c r="X1469" s="3" t="s">
        <v>147</v>
      </c>
      <c r="Y1469" s="3">
        <v>0</v>
      </c>
      <c r="Z1469" s="3">
        <v>0</v>
      </c>
      <c r="AA1469" s="3">
        <v>0</v>
      </c>
      <c r="AB1469" s="3">
        <v>0</v>
      </c>
      <c r="AC1469" s="3">
        <v>0</v>
      </c>
      <c r="AD1469" s="3">
        <v>0</v>
      </c>
      <c r="AE1469" s="3">
        <v>14</v>
      </c>
      <c r="AF1469" s="3" t="s">
        <v>0</v>
      </c>
      <c r="AG1469" s="3" t="s">
        <v>49</v>
      </c>
    </row>
    <row r="1470" spans="1:33" ht="38.25" x14ac:dyDescent="0.2">
      <c r="A1470" s="4" t="str">
        <f>HYPERLINK("http://www.patentics.cn/invokexml.do?sf=ShowPatent&amp;spn=WO2012013052&amp;sv=e311b259412b7eb49f619754f807009b","WO2012013052")</f>
        <v>WO2012013052</v>
      </c>
      <c r="B1470" s="2" t="s">
        <v>6705</v>
      </c>
      <c r="C1470" s="2" t="s">
        <v>6706</v>
      </c>
      <c r="D1470" s="2" t="s">
        <v>1394</v>
      </c>
      <c r="E1470" s="2" t="s">
        <v>1394</v>
      </c>
      <c r="F1470" s="2" t="s">
        <v>6707</v>
      </c>
      <c r="G1470" s="2" t="s">
        <v>6707</v>
      </c>
      <c r="H1470" s="2" t="s">
        <v>1460</v>
      </c>
      <c r="I1470" s="2" t="s">
        <v>2070</v>
      </c>
      <c r="J1470" s="2" t="s">
        <v>1472</v>
      </c>
      <c r="K1470" s="2" t="s">
        <v>82</v>
      </c>
      <c r="L1470" s="2" t="s">
        <v>177</v>
      </c>
      <c r="M1470" s="2" t="s">
        <v>0</v>
      </c>
      <c r="N1470" s="2" t="s">
        <v>0</v>
      </c>
      <c r="O1470" s="2">
        <v>11</v>
      </c>
      <c r="P1470" s="2">
        <v>29</v>
      </c>
      <c r="Q1470" s="2" t="s">
        <v>352</v>
      </c>
      <c r="R1470" s="2" t="s">
        <v>47</v>
      </c>
      <c r="S1470" s="2">
        <v>4</v>
      </c>
      <c r="T1470" s="2">
        <v>1</v>
      </c>
      <c r="U1470" s="2">
        <v>3</v>
      </c>
      <c r="V1470" s="2">
        <v>3</v>
      </c>
      <c r="W1470" s="2">
        <v>1</v>
      </c>
      <c r="X1470" s="2" t="s">
        <v>1206</v>
      </c>
      <c r="Y1470" s="2">
        <v>0</v>
      </c>
      <c r="Z1470" s="2">
        <v>1</v>
      </c>
      <c r="AA1470" s="2">
        <v>1</v>
      </c>
      <c r="AB1470" s="2">
        <v>1</v>
      </c>
      <c r="AC1470" s="2">
        <v>2</v>
      </c>
      <c r="AD1470" s="2">
        <v>2</v>
      </c>
      <c r="AE1470" s="2" t="s">
        <v>0</v>
      </c>
      <c r="AF1470" s="2">
        <v>1</v>
      </c>
      <c r="AG1470" s="2" t="s">
        <v>0</v>
      </c>
    </row>
    <row r="1471" spans="1:33" ht="89.25" x14ac:dyDescent="0.2">
      <c r="A1471" s="5" t="str">
        <f>HYPERLINK("http://www.patentics.cn/invokexml.do?sf=ShowPatent&amp;spn=WO2014161151&amp;sv=be0c0109bc0743e94a1b8bc3c9900845","WO2014161151")</f>
        <v>WO2014161151</v>
      </c>
      <c r="B1471" s="3" t="s">
        <v>6708</v>
      </c>
      <c r="C1471" s="3" t="s">
        <v>6709</v>
      </c>
      <c r="D1471" s="3" t="s">
        <v>6710</v>
      </c>
      <c r="E1471" s="3" t="s">
        <v>6711</v>
      </c>
      <c r="F1471" s="3" t="s">
        <v>6712</v>
      </c>
      <c r="G1471" s="3" t="s">
        <v>6713</v>
      </c>
      <c r="H1471" s="3" t="s">
        <v>5849</v>
      </c>
      <c r="I1471" s="3" t="s">
        <v>5849</v>
      </c>
      <c r="J1471" s="3" t="s">
        <v>3344</v>
      </c>
      <c r="K1471" s="3" t="s">
        <v>82</v>
      </c>
      <c r="L1471" s="3" t="s">
        <v>177</v>
      </c>
      <c r="M1471" s="3" t="s">
        <v>0</v>
      </c>
      <c r="N1471" s="3" t="s">
        <v>0</v>
      </c>
      <c r="O1471" s="3">
        <v>23</v>
      </c>
      <c r="P1471" s="3">
        <v>18</v>
      </c>
      <c r="Q1471" s="3" t="s">
        <v>352</v>
      </c>
      <c r="R1471" s="3" t="s">
        <v>47</v>
      </c>
      <c r="S1471" s="3">
        <v>3</v>
      </c>
      <c r="T1471" s="3">
        <v>0</v>
      </c>
      <c r="U1471" s="3">
        <v>3</v>
      </c>
      <c r="V1471" s="3">
        <v>2</v>
      </c>
      <c r="W1471" s="3">
        <v>0</v>
      </c>
      <c r="X1471" s="3" t="s">
        <v>147</v>
      </c>
      <c r="Y1471" s="3">
        <v>0</v>
      </c>
      <c r="Z1471" s="3">
        <v>0</v>
      </c>
      <c r="AA1471" s="3">
        <v>0</v>
      </c>
      <c r="AB1471" s="3">
        <v>0</v>
      </c>
      <c r="AC1471" s="3">
        <v>2</v>
      </c>
      <c r="AD1471" s="3">
        <v>2</v>
      </c>
      <c r="AE1471" s="3">
        <v>14</v>
      </c>
      <c r="AF1471" s="3" t="s">
        <v>0</v>
      </c>
      <c r="AG1471" s="3" t="s">
        <v>0</v>
      </c>
    </row>
    <row r="1472" spans="1:33" ht="51" x14ac:dyDescent="0.2">
      <c r="A1472" s="4" t="str">
        <f>HYPERLINK("http://www.patentics.cn/invokexml.do?sf=ShowPatent&amp;spn=WO2011160451&amp;sv=c43e52efa02c5b245670392c052ab9ba","WO2011160451")</f>
        <v>WO2011160451</v>
      </c>
      <c r="B1472" s="2" t="s">
        <v>6714</v>
      </c>
      <c r="C1472" s="2" t="s">
        <v>6715</v>
      </c>
      <c r="D1472" s="2" t="s">
        <v>6716</v>
      </c>
      <c r="E1472" s="2" t="s">
        <v>6716</v>
      </c>
      <c r="F1472" s="2" t="s">
        <v>6717</v>
      </c>
      <c r="G1472" s="2" t="s">
        <v>6718</v>
      </c>
      <c r="H1472" s="2" t="s">
        <v>6719</v>
      </c>
      <c r="I1472" s="2" t="s">
        <v>6720</v>
      </c>
      <c r="J1472" s="2" t="s">
        <v>3196</v>
      </c>
      <c r="K1472" s="2" t="s">
        <v>58</v>
      </c>
      <c r="L1472" s="2" t="s">
        <v>249</v>
      </c>
      <c r="M1472" s="2" t="s">
        <v>0</v>
      </c>
      <c r="N1472" s="2" t="s">
        <v>0</v>
      </c>
      <c r="O1472" s="2">
        <v>21</v>
      </c>
      <c r="P1472" s="2">
        <v>23</v>
      </c>
      <c r="Q1472" s="2" t="s">
        <v>352</v>
      </c>
      <c r="R1472" s="2" t="s">
        <v>47</v>
      </c>
      <c r="S1472" s="2">
        <v>5</v>
      </c>
      <c r="T1472" s="2">
        <v>3</v>
      </c>
      <c r="U1472" s="2">
        <v>2</v>
      </c>
      <c r="V1472" s="2">
        <v>2</v>
      </c>
      <c r="W1472" s="2">
        <v>10</v>
      </c>
      <c r="X1472" s="2" t="s">
        <v>6539</v>
      </c>
      <c r="Y1472" s="2">
        <v>0</v>
      </c>
      <c r="Z1472" s="2">
        <v>10</v>
      </c>
      <c r="AA1472" s="2">
        <v>2</v>
      </c>
      <c r="AB1472" s="2">
        <v>3</v>
      </c>
      <c r="AC1472" s="2">
        <v>11</v>
      </c>
      <c r="AD1472" s="2">
        <v>8</v>
      </c>
      <c r="AE1472" s="2" t="s">
        <v>0</v>
      </c>
      <c r="AF1472" s="2">
        <v>1</v>
      </c>
      <c r="AG1472" s="2" t="s">
        <v>0</v>
      </c>
    </row>
    <row r="1473" spans="1:33" ht="63.75" x14ac:dyDescent="0.2">
      <c r="A1473" s="5" t="str">
        <f>HYPERLINK("http://www.patentics.cn/invokexml.do?sf=ShowPatent&amp;spn=US9571173&amp;sv=4259c9a713a4ed85479114e8755cf52c","US9571173")</f>
        <v>US9571173</v>
      </c>
      <c r="B1473" s="3" t="s">
        <v>6721</v>
      </c>
      <c r="C1473" s="3" t="s">
        <v>6722</v>
      </c>
      <c r="D1473" s="3" t="s">
        <v>52</v>
      </c>
      <c r="E1473" s="3" t="s">
        <v>52</v>
      </c>
      <c r="F1473" s="3" t="s">
        <v>6723</v>
      </c>
      <c r="G1473" s="3" t="s">
        <v>2822</v>
      </c>
      <c r="H1473" s="3" t="s">
        <v>3181</v>
      </c>
      <c r="I1473" s="3" t="s">
        <v>5231</v>
      </c>
      <c r="J1473" s="3" t="s">
        <v>866</v>
      </c>
      <c r="K1473" s="3" t="s">
        <v>84</v>
      </c>
      <c r="L1473" s="3" t="s">
        <v>135</v>
      </c>
      <c r="M1473" s="3" t="s">
        <v>84</v>
      </c>
      <c r="N1473" s="3" t="s">
        <v>136</v>
      </c>
      <c r="O1473" s="3">
        <v>0</v>
      </c>
      <c r="P1473" s="3">
        <v>12</v>
      </c>
      <c r="Q1473" s="3" t="s">
        <v>60</v>
      </c>
      <c r="R1473" s="3" t="s">
        <v>61</v>
      </c>
      <c r="S1473" s="3">
        <v>18</v>
      </c>
      <c r="T1473" s="3">
        <v>0</v>
      </c>
      <c r="U1473" s="3">
        <v>18</v>
      </c>
      <c r="V1473" s="3">
        <v>13</v>
      </c>
      <c r="W1473" s="3">
        <v>0</v>
      </c>
      <c r="X1473" s="3" t="s">
        <v>147</v>
      </c>
      <c r="Y1473" s="3">
        <v>0</v>
      </c>
      <c r="Z1473" s="3">
        <v>0</v>
      </c>
      <c r="AA1473" s="3">
        <v>0</v>
      </c>
      <c r="AB1473" s="3">
        <v>0</v>
      </c>
      <c r="AC1473" s="3">
        <v>11</v>
      </c>
      <c r="AD1473" s="3">
        <v>7</v>
      </c>
      <c r="AE1473" s="3">
        <v>14</v>
      </c>
      <c r="AF1473" s="3" t="s">
        <v>0</v>
      </c>
      <c r="AG1473" s="3" t="s">
        <v>49</v>
      </c>
    </row>
    <row r="1474" spans="1:33" ht="38.25" x14ac:dyDescent="0.2">
      <c r="A1474" s="4" t="str">
        <f>HYPERLINK("http://www.patentics.cn/invokexml.do?sf=ShowPatent&amp;spn=WO2011150695&amp;sv=981cf6bfa09cac2529f2e9a3c6279051","WO2011150695")</f>
        <v>WO2011150695</v>
      </c>
      <c r="B1474" s="2" t="s">
        <v>6724</v>
      </c>
      <c r="C1474" s="2" t="s">
        <v>6725</v>
      </c>
      <c r="D1474" s="2" t="s">
        <v>6726</v>
      </c>
      <c r="E1474" s="2" t="s">
        <v>6726</v>
      </c>
      <c r="F1474" s="2" t="s">
        <v>6727</v>
      </c>
      <c r="G1474" s="2" t="s">
        <v>6728</v>
      </c>
      <c r="H1474" s="2" t="s">
        <v>1661</v>
      </c>
      <c r="I1474" s="2" t="s">
        <v>1513</v>
      </c>
      <c r="J1474" s="2" t="s">
        <v>6729</v>
      </c>
      <c r="K1474" s="2" t="s">
        <v>82</v>
      </c>
      <c r="L1474" s="2" t="s">
        <v>2215</v>
      </c>
      <c r="M1474" s="2" t="s">
        <v>0</v>
      </c>
      <c r="N1474" s="2" t="s">
        <v>0</v>
      </c>
      <c r="O1474" s="2">
        <v>12</v>
      </c>
      <c r="P1474" s="2">
        <v>7</v>
      </c>
      <c r="Q1474" s="2" t="s">
        <v>352</v>
      </c>
      <c r="R1474" s="2" t="s">
        <v>47</v>
      </c>
      <c r="S1474" s="2">
        <v>4</v>
      </c>
      <c r="T1474" s="2">
        <v>1</v>
      </c>
      <c r="U1474" s="2">
        <v>3</v>
      </c>
      <c r="V1474" s="2">
        <v>3</v>
      </c>
      <c r="W1474" s="2">
        <v>1</v>
      </c>
      <c r="X1474" s="2" t="s">
        <v>1206</v>
      </c>
      <c r="Y1474" s="2">
        <v>0</v>
      </c>
      <c r="Z1474" s="2">
        <v>1</v>
      </c>
      <c r="AA1474" s="2">
        <v>1</v>
      </c>
      <c r="AB1474" s="2">
        <v>1</v>
      </c>
      <c r="AC1474" s="2">
        <v>11</v>
      </c>
      <c r="AD1474" s="2">
        <v>8</v>
      </c>
      <c r="AE1474" s="2" t="s">
        <v>0</v>
      </c>
      <c r="AF1474" s="2">
        <v>1</v>
      </c>
      <c r="AG1474" s="2" t="s">
        <v>0</v>
      </c>
    </row>
    <row r="1475" spans="1:33" ht="140.25" x14ac:dyDescent="0.2">
      <c r="A1475" s="5" t="str">
        <f>HYPERLINK("http://www.patentics.cn/invokexml.do?sf=ShowPatent&amp;spn=WO2013169834&amp;sv=b93acd574d48049b8bd6877a1dd13cdf","WO2013169834")</f>
        <v>WO2013169834</v>
      </c>
      <c r="B1475" s="3" t="s">
        <v>6730</v>
      </c>
      <c r="C1475" s="3" t="s">
        <v>6731</v>
      </c>
      <c r="D1475" s="3" t="s">
        <v>52</v>
      </c>
      <c r="E1475" s="3" t="s">
        <v>52</v>
      </c>
      <c r="F1475" s="3" t="s">
        <v>6732</v>
      </c>
      <c r="G1475" s="3" t="s">
        <v>6733</v>
      </c>
      <c r="H1475" s="3" t="s">
        <v>6734</v>
      </c>
      <c r="I1475" s="3" t="s">
        <v>4820</v>
      </c>
      <c r="J1475" s="3" t="s">
        <v>2726</v>
      </c>
      <c r="K1475" s="3" t="s">
        <v>82</v>
      </c>
      <c r="L1475" s="3" t="s">
        <v>997</v>
      </c>
      <c r="M1475" s="3" t="s">
        <v>0</v>
      </c>
      <c r="N1475" s="3" t="s">
        <v>0</v>
      </c>
      <c r="O1475" s="3">
        <v>33</v>
      </c>
      <c r="P1475" s="3">
        <v>13</v>
      </c>
      <c r="Q1475" s="3" t="s">
        <v>352</v>
      </c>
      <c r="R1475" s="3" t="s">
        <v>61</v>
      </c>
      <c r="S1475" s="3">
        <v>3</v>
      </c>
      <c r="T1475" s="3">
        <v>2</v>
      </c>
      <c r="U1475" s="3">
        <v>1</v>
      </c>
      <c r="V1475" s="3">
        <v>2</v>
      </c>
      <c r="W1475" s="3">
        <v>0</v>
      </c>
      <c r="X1475" s="3" t="s">
        <v>147</v>
      </c>
      <c r="Y1475" s="3">
        <v>0</v>
      </c>
      <c r="Z1475" s="3">
        <v>0</v>
      </c>
      <c r="AA1475" s="3">
        <v>0</v>
      </c>
      <c r="AB1475" s="3">
        <v>0</v>
      </c>
      <c r="AC1475" s="3">
        <v>3</v>
      </c>
      <c r="AD1475" s="3">
        <v>4</v>
      </c>
      <c r="AE1475" s="3">
        <v>14</v>
      </c>
      <c r="AF1475" s="3" t="s">
        <v>0</v>
      </c>
      <c r="AG1475" s="3" t="s">
        <v>0</v>
      </c>
    </row>
    <row r="1476" spans="1:33" ht="25.5" x14ac:dyDescent="0.2">
      <c r="A1476" s="4" t="str">
        <f>HYPERLINK("http://www.patentics.cn/invokexml.do?sf=ShowPatent&amp;spn=WO2011103309&amp;sv=e5111efc84f1305b39494b80aa57fa90","WO2011103309")</f>
        <v>WO2011103309</v>
      </c>
      <c r="B1476" s="2" t="s">
        <v>6735</v>
      </c>
      <c r="C1476" s="2" t="s">
        <v>6736</v>
      </c>
      <c r="D1476" s="2" t="s">
        <v>4647</v>
      </c>
      <c r="E1476" s="2" t="s">
        <v>4648</v>
      </c>
      <c r="F1476" s="2" t="s">
        <v>4636</v>
      </c>
      <c r="G1476" s="2" t="s">
        <v>4636</v>
      </c>
      <c r="H1476" s="2" t="s">
        <v>2137</v>
      </c>
      <c r="I1476" s="2" t="s">
        <v>4558</v>
      </c>
      <c r="J1476" s="2" t="s">
        <v>6737</v>
      </c>
      <c r="K1476" s="2" t="s">
        <v>58</v>
      </c>
      <c r="L1476" s="2" t="s">
        <v>326</v>
      </c>
      <c r="M1476" s="2" t="s">
        <v>0</v>
      </c>
      <c r="N1476" s="2" t="s">
        <v>0</v>
      </c>
      <c r="O1476" s="2">
        <v>31</v>
      </c>
      <c r="P1476" s="2">
        <v>11</v>
      </c>
      <c r="Q1476" s="2" t="s">
        <v>352</v>
      </c>
      <c r="R1476" s="2" t="s">
        <v>61</v>
      </c>
      <c r="S1476" s="2">
        <v>0</v>
      </c>
      <c r="T1476" s="2">
        <v>0</v>
      </c>
      <c r="U1476" s="2">
        <v>0</v>
      </c>
      <c r="V1476" s="2">
        <v>0</v>
      </c>
      <c r="W1476" s="2">
        <v>15</v>
      </c>
      <c r="X1476" s="2" t="s">
        <v>6738</v>
      </c>
      <c r="Y1476" s="2">
        <v>1</v>
      </c>
      <c r="Z1476" s="2">
        <v>14</v>
      </c>
      <c r="AA1476" s="2">
        <v>6</v>
      </c>
      <c r="AB1476" s="2">
        <v>3</v>
      </c>
      <c r="AC1476" s="2">
        <v>8</v>
      </c>
      <c r="AD1476" s="2">
        <v>8</v>
      </c>
      <c r="AE1476" s="2" t="s">
        <v>0</v>
      </c>
      <c r="AF1476" s="2">
        <v>1</v>
      </c>
      <c r="AG1476" s="2" t="s">
        <v>0</v>
      </c>
    </row>
    <row r="1477" spans="1:33" ht="63.75" x14ac:dyDescent="0.2">
      <c r="A1477" s="5" t="str">
        <f>HYPERLINK("http://www.patentics.cn/invokexml.do?sf=ShowPatent&amp;spn=US9155098&amp;sv=5a73e7a5efdef908a4e9c9ee31305328","US9155098")</f>
        <v>US9155098</v>
      </c>
      <c r="B1477" s="3" t="s">
        <v>6739</v>
      </c>
      <c r="C1477" s="3" t="s">
        <v>6740</v>
      </c>
      <c r="D1477" s="3" t="s">
        <v>52</v>
      </c>
      <c r="E1477" s="3" t="s">
        <v>52</v>
      </c>
      <c r="F1477" s="3" t="s">
        <v>6741</v>
      </c>
      <c r="G1477" s="3" t="s">
        <v>2822</v>
      </c>
      <c r="H1477" s="3" t="s">
        <v>6433</v>
      </c>
      <c r="I1477" s="3" t="s">
        <v>316</v>
      </c>
      <c r="J1477" s="3" t="s">
        <v>256</v>
      </c>
      <c r="K1477" s="3" t="s">
        <v>82</v>
      </c>
      <c r="L1477" s="3" t="s">
        <v>83</v>
      </c>
      <c r="M1477" s="3" t="s">
        <v>82</v>
      </c>
      <c r="N1477" s="3" t="s">
        <v>3530</v>
      </c>
      <c r="O1477" s="3">
        <v>0</v>
      </c>
      <c r="P1477" s="3">
        <v>17</v>
      </c>
      <c r="Q1477" s="3" t="s">
        <v>60</v>
      </c>
      <c r="R1477" s="3" t="s">
        <v>61</v>
      </c>
      <c r="S1477" s="3">
        <v>15</v>
      </c>
      <c r="T1477" s="3">
        <v>2</v>
      </c>
      <c r="U1477" s="3">
        <v>13</v>
      </c>
      <c r="V1477" s="3">
        <v>10</v>
      </c>
      <c r="W1477" s="3">
        <v>8</v>
      </c>
      <c r="X1477" s="3" t="s">
        <v>147</v>
      </c>
      <c r="Y1477" s="3">
        <v>0</v>
      </c>
      <c r="Z1477" s="3">
        <v>8</v>
      </c>
      <c r="AA1477" s="3">
        <v>0</v>
      </c>
      <c r="AB1477" s="3">
        <v>1</v>
      </c>
      <c r="AC1477" s="3">
        <v>6</v>
      </c>
      <c r="AD1477" s="3">
        <v>6</v>
      </c>
      <c r="AE1477" s="3">
        <v>14</v>
      </c>
      <c r="AF1477" s="3" t="s">
        <v>0</v>
      </c>
      <c r="AG1477" s="3" t="s">
        <v>49</v>
      </c>
    </row>
    <row r="1478" spans="1:33" ht="38.25" x14ac:dyDescent="0.2">
      <c r="A1478" s="4" t="str">
        <f>HYPERLINK("http://www.patentics.cn/invokexml.do?sf=ShowPatent&amp;spn=WO2011069407&amp;sv=207e6ab7251cac85a33339ad907feba8","WO2011069407")</f>
        <v>WO2011069407</v>
      </c>
      <c r="B1478" s="2" t="s">
        <v>6742</v>
      </c>
      <c r="C1478" s="2" t="s">
        <v>6743</v>
      </c>
      <c r="D1478" s="2" t="s">
        <v>6744</v>
      </c>
      <c r="E1478" s="2" t="s">
        <v>6744</v>
      </c>
      <c r="F1478" s="2" t="s">
        <v>6745</v>
      </c>
      <c r="G1478" s="2" t="s">
        <v>6746</v>
      </c>
      <c r="H1478" s="2" t="s">
        <v>6747</v>
      </c>
      <c r="I1478" s="2" t="s">
        <v>1365</v>
      </c>
      <c r="J1478" s="2" t="s">
        <v>2424</v>
      </c>
      <c r="K1478" s="2" t="s">
        <v>84</v>
      </c>
      <c r="L1478" s="2" t="s">
        <v>1922</v>
      </c>
      <c r="M1478" s="2" t="s">
        <v>0</v>
      </c>
      <c r="N1478" s="2" t="s">
        <v>0</v>
      </c>
      <c r="O1478" s="2">
        <v>9</v>
      </c>
      <c r="P1478" s="2">
        <v>18</v>
      </c>
      <c r="Q1478" s="2" t="s">
        <v>352</v>
      </c>
      <c r="R1478" s="2" t="s">
        <v>47</v>
      </c>
      <c r="S1478" s="2">
        <v>3</v>
      </c>
      <c r="T1478" s="2">
        <v>1</v>
      </c>
      <c r="U1478" s="2">
        <v>2</v>
      </c>
      <c r="V1478" s="2">
        <v>2</v>
      </c>
      <c r="W1478" s="2">
        <v>1</v>
      </c>
      <c r="X1478" s="2" t="s">
        <v>1206</v>
      </c>
      <c r="Y1478" s="2">
        <v>0</v>
      </c>
      <c r="Z1478" s="2">
        <v>1</v>
      </c>
      <c r="AA1478" s="2">
        <v>1</v>
      </c>
      <c r="AB1478" s="2">
        <v>1</v>
      </c>
      <c r="AC1478" s="2">
        <v>5</v>
      </c>
      <c r="AD1478" s="2">
        <v>4</v>
      </c>
      <c r="AE1478" s="2" t="s">
        <v>0</v>
      </c>
      <c r="AF1478" s="2">
        <v>1</v>
      </c>
      <c r="AG1478" s="2" t="s">
        <v>0</v>
      </c>
    </row>
    <row r="1479" spans="1:33" ht="229.5" x14ac:dyDescent="0.2">
      <c r="A1479" s="5" t="str">
        <f>HYPERLINK("http://www.patentics.cn/invokexml.do?sf=ShowPatent&amp;spn=WO2013165619&amp;sv=24602018368db223d4289baa12b11614","WO2013165619")</f>
        <v>WO2013165619</v>
      </c>
      <c r="B1479" s="3" t="s">
        <v>6748</v>
      </c>
      <c r="C1479" s="3" t="s">
        <v>6749</v>
      </c>
      <c r="D1479" s="3" t="s">
        <v>52</v>
      </c>
      <c r="E1479" s="3" t="s">
        <v>52</v>
      </c>
      <c r="F1479" s="3" t="s">
        <v>6750</v>
      </c>
      <c r="G1479" s="3" t="s">
        <v>6751</v>
      </c>
      <c r="H1479" s="3" t="s">
        <v>6396</v>
      </c>
      <c r="I1479" s="3" t="s">
        <v>3387</v>
      </c>
      <c r="J1479" s="3" t="s">
        <v>4821</v>
      </c>
      <c r="K1479" s="3" t="s">
        <v>82</v>
      </c>
      <c r="L1479" s="3" t="s">
        <v>226</v>
      </c>
      <c r="M1479" s="3" t="s">
        <v>0</v>
      </c>
      <c r="N1479" s="3" t="s">
        <v>0</v>
      </c>
      <c r="O1479" s="3">
        <v>44</v>
      </c>
      <c r="P1479" s="3">
        <v>16</v>
      </c>
      <c r="Q1479" s="3" t="s">
        <v>352</v>
      </c>
      <c r="R1479" s="3" t="s">
        <v>61</v>
      </c>
      <c r="S1479" s="3">
        <v>3</v>
      </c>
      <c r="T1479" s="3">
        <v>0</v>
      </c>
      <c r="U1479" s="3">
        <v>3</v>
      </c>
      <c r="V1479" s="3">
        <v>3</v>
      </c>
      <c r="W1479" s="3">
        <v>0</v>
      </c>
      <c r="X1479" s="3" t="s">
        <v>147</v>
      </c>
      <c r="Y1479" s="3">
        <v>0</v>
      </c>
      <c r="Z1479" s="3">
        <v>0</v>
      </c>
      <c r="AA1479" s="3">
        <v>0</v>
      </c>
      <c r="AB1479" s="3">
        <v>0</v>
      </c>
      <c r="AC1479" s="3">
        <v>1</v>
      </c>
      <c r="AD1479" s="3">
        <v>2</v>
      </c>
      <c r="AE1479" s="3">
        <v>14</v>
      </c>
      <c r="AF1479" s="3" t="s">
        <v>0</v>
      </c>
      <c r="AG1479" s="3" t="s">
        <v>0</v>
      </c>
    </row>
    <row r="1480" spans="1:33" ht="38.25" x14ac:dyDescent="0.2">
      <c r="A1480" s="4" t="str">
        <f>HYPERLINK("http://www.patentics.cn/invokexml.do?sf=ShowPatent&amp;spn=WO2011032420&amp;sv=d4c184368e197efd2d245964d84f2f2e","WO2011032420")</f>
        <v>WO2011032420</v>
      </c>
      <c r="B1480" s="2" t="s">
        <v>6752</v>
      </c>
      <c r="C1480" s="2" t="s">
        <v>6753</v>
      </c>
      <c r="D1480" s="2" t="s">
        <v>6754</v>
      </c>
      <c r="E1480" s="2" t="s">
        <v>6754</v>
      </c>
      <c r="F1480" s="2" t="s">
        <v>6755</v>
      </c>
      <c r="G1480" s="2" t="s">
        <v>6756</v>
      </c>
      <c r="H1480" s="2" t="s">
        <v>1018</v>
      </c>
      <c r="I1480" s="2" t="s">
        <v>3175</v>
      </c>
      <c r="J1480" s="2" t="s">
        <v>984</v>
      </c>
      <c r="K1480" s="2" t="s">
        <v>82</v>
      </c>
      <c r="L1480" s="2" t="s">
        <v>806</v>
      </c>
      <c r="M1480" s="2" t="s">
        <v>0</v>
      </c>
      <c r="N1480" s="2" t="s">
        <v>0</v>
      </c>
      <c r="O1480" s="2">
        <v>5</v>
      </c>
      <c r="P1480" s="2">
        <v>12</v>
      </c>
      <c r="Q1480" s="2" t="s">
        <v>352</v>
      </c>
      <c r="R1480" s="2" t="s">
        <v>47</v>
      </c>
      <c r="S1480" s="2">
        <v>3</v>
      </c>
      <c r="T1480" s="2">
        <v>0</v>
      </c>
      <c r="U1480" s="2">
        <v>3</v>
      </c>
      <c r="V1480" s="2">
        <v>3</v>
      </c>
      <c r="W1480" s="2">
        <v>4</v>
      </c>
      <c r="X1480" s="2" t="s">
        <v>5085</v>
      </c>
      <c r="Y1480" s="2">
        <v>0</v>
      </c>
      <c r="Z1480" s="2">
        <v>4</v>
      </c>
      <c r="AA1480" s="2">
        <v>2</v>
      </c>
      <c r="AB1480" s="2">
        <v>3</v>
      </c>
      <c r="AC1480" s="2">
        <v>3</v>
      </c>
      <c r="AD1480" s="2">
        <v>3</v>
      </c>
      <c r="AE1480" s="2" t="s">
        <v>0</v>
      </c>
      <c r="AF1480" s="2">
        <v>1</v>
      </c>
      <c r="AG1480" s="2" t="s">
        <v>0</v>
      </c>
    </row>
    <row r="1481" spans="1:33" ht="140.25" x14ac:dyDescent="0.2">
      <c r="A1481" s="5" t="str">
        <f>HYPERLINK("http://www.patentics.cn/invokexml.do?sf=ShowPatent&amp;spn=WO2013116400&amp;sv=46f801ed04174d999bbcd85c03264278","WO2013116400")</f>
        <v>WO2013116400</v>
      </c>
      <c r="B1481" s="3" t="s">
        <v>6757</v>
      </c>
      <c r="C1481" s="3" t="s">
        <v>6758</v>
      </c>
      <c r="D1481" s="3" t="s">
        <v>52</v>
      </c>
      <c r="E1481" s="3" t="s">
        <v>52</v>
      </c>
      <c r="F1481" s="3" t="s">
        <v>6759</v>
      </c>
      <c r="G1481" s="3" t="s">
        <v>6760</v>
      </c>
      <c r="H1481" s="3" t="s">
        <v>6660</v>
      </c>
      <c r="I1481" s="3" t="s">
        <v>6761</v>
      </c>
      <c r="J1481" s="3" t="s">
        <v>1437</v>
      </c>
      <c r="K1481" s="3" t="s">
        <v>82</v>
      </c>
      <c r="L1481" s="3" t="s">
        <v>2007</v>
      </c>
      <c r="M1481" s="3" t="s">
        <v>0</v>
      </c>
      <c r="N1481" s="3" t="s">
        <v>0</v>
      </c>
      <c r="O1481" s="3">
        <v>14</v>
      </c>
      <c r="P1481" s="3">
        <v>11</v>
      </c>
      <c r="Q1481" s="3" t="s">
        <v>352</v>
      </c>
      <c r="R1481" s="3" t="s">
        <v>61</v>
      </c>
      <c r="S1481" s="3">
        <v>3</v>
      </c>
      <c r="T1481" s="3">
        <v>0</v>
      </c>
      <c r="U1481" s="3">
        <v>3</v>
      </c>
      <c r="V1481" s="3">
        <v>2</v>
      </c>
      <c r="W1481" s="3">
        <v>0</v>
      </c>
      <c r="X1481" s="3" t="s">
        <v>147</v>
      </c>
      <c r="Y1481" s="3">
        <v>0</v>
      </c>
      <c r="Z1481" s="3">
        <v>0</v>
      </c>
      <c r="AA1481" s="3">
        <v>0</v>
      </c>
      <c r="AB1481" s="3">
        <v>0</v>
      </c>
      <c r="AC1481" s="3">
        <v>1</v>
      </c>
      <c r="AD1481" s="3">
        <v>2</v>
      </c>
      <c r="AE1481" s="3">
        <v>14</v>
      </c>
      <c r="AF1481" s="3" t="s">
        <v>0</v>
      </c>
      <c r="AG1481" s="3" t="s">
        <v>0</v>
      </c>
    </row>
    <row r="1482" spans="1:33" ht="51" x14ac:dyDescent="0.2">
      <c r="A1482" s="4" t="str">
        <f>HYPERLINK("http://www.patentics.cn/invokexml.do?sf=ShowPatent&amp;spn=WO2011023008&amp;sv=3b9c6eb7f266c928bf1d4350a2b8f365","WO2011023008")</f>
        <v>WO2011023008</v>
      </c>
      <c r="B1482" s="2" t="s">
        <v>6762</v>
      </c>
      <c r="C1482" s="2" t="s">
        <v>6763</v>
      </c>
      <c r="D1482" s="2" t="s">
        <v>6764</v>
      </c>
      <c r="E1482" s="2" t="s">
        <v>6764</v>
      </c>
      <c r="F1482" s="2" t="s">
        <v>6765</v>
      </c>
      <c r="G1482" s="2" t="s">
        <v>6766</v>
      </c>
      <c r="H1482" s="2" t="s">
        <v>3927</v>
      </c>
      <c r="I1482" s="2" t="s">
        <v>6767</v>
      </c>
      <c r="J1482" s="2" t="s">
        <v>6768</v>
      </c>
      <c r="K1482" s="2" t="s">
        <v>82</v>
      </c>
      <c r="L1482" s="2" t="s">
        <v>177</v>
      </c>
      <c r="M1482" s="2" t="s">
        <v>0</v>
      </c>
      <c r="N1482" s="2" t="s">
        <v>0</v>
      </c>
      <c r="O1482" s="2">
        <v>3</v>
      </c>
      <c r="P1482" s="2">
        <v>17</v>
      </c>
      <c r="Q1482" s="2" t="s">
        <v>352</v>
      </c>
      <c r="R1482" s="2" t="s">
        <v>47</v>
      </c>
      <c r="S1482" s="2">
        <v>3</v>
      </c>
      <c r="T1482" s="2">
        <v>0</v>
      </c>
      <c r="U1482" s="2">
        <v>3</v>
      </c>
      <c r="V1482" s="2">
        <v>3</v>
      </c>
      <c r="W1482" s="2">
        <v>5</v>
      </c>
      <c r="X1482" s="2" t="s">
        <v>464</v>
      </c>
      <c r="Y1482" s="2">
        <v>0</v>
      </c>
      <c r="Z1482" s="2">
        <v>5</v>
      </c>
      <c r="AA1482" s="2">
        <v>3</v>
      </c>
      <c r="AB1482" s="2">
        <v>2</v>
      </c>
      <c r="AC1482" s="2">
        <v>1</v>
      </c>
      <c r="AD1482" s="2">
        <v>2</v>
      </c>
      <c r="AE1482" s="2" t="s">
        <v>0</v>
      </c>
      <c r="AF1482" s="2">
        <v>1</v>
      </c>
      <c r="AG1482" s="2" t="s">
        <v>0</v>
      </c>
    </row>
    <row r="1483" spans="1:33" ht="51" x14ac:dyDescent="0.2">
      <c r="A1483" s="5" t="str">
        <f>HYPERLINK("http://www.patentics.cn/invokexml.do?sf=ShowPatent&amp;spn=US9451098&amp;sv=5c52d5f4d10de702eeab4977586f93ea","US9451098")</f>
        <v>US9451098</v>
      </c>
      <c r="B1483" s="3" t="s">
        <v>6769</v>
      </c>
      <c r="C1483" s="3" t="s">
        <v>6770</v>
      </c>
      <c r="D1483" s="3" t="s">
        <v>52</v>
      </c>
      <c r="E1483" s="3" t="s">
        <v>52</v>
      </c>
      <c r="F1483" s="3" t="s">
        <v>6771</v>
      </c>
      <c r="G1483" s="3" t="s">
        <v>6523</v>
      </c>
      <c r="H1483" s="3" t="s">
        <v>0</v>
      </c>
      <c r="I1483" s="3" t="s">
        <v>5919</v>
      </c>
      <c r="J1483" s="3" t="s">
        <v>848</v>
      </c>
      <c r="K1483" s="3" t="s">
        <v>270</v>
      </c>
      <c r="L1483" s="3" t="s">
        <v>271</v>
      </c>
      <c r="M1483" s="3" t="s">
        <v>270</v>
      </c>
      <c r="N1483" s="3" t="s">
        <v>6772</v>
      </c>
      <c r="O1483" s="3">
        <v>0</v>
      </c>
      <c r="P1483" s="3">
        <v>21</v>
      </c>
      <c r="Q1483" s="3" t="s">
        <v>60</v>
      </c>
      <c r="R1483" s="3" t="s">
        <v>61</v>
      </c>
      <c r="S1483" s="3">
        <v>23</v>
      </c>
      <c r="T1483" s="3">
        <v>5</v>
      </c>
      <c r="U1483" s="3">
        <v>18</v>
      </c>
      <c r="V1483" s="3">
        <v>11</v>
      </c>
      <c r="W1483" s="3">
        <v>0</v>
      </c>
      <c r="X1483" s="3" t="s">
        <v>147</v>
      </c>
      <c r="Y1483" s="3">
        <v>0</v>
      </c>
      <c r="Z1483" s="3">
        <v>0</v>
      </c>
      <c r="AA1483" s="3">
        <v>0</v>
      </c>
      <c r="AB1483" s="3">
        <v>0</v>
      </c>
      <c r="AC1483" s="3">
        <v>0</v>
      </c>
      <c r="AD1483" s="3">
        <v>0</v>
      </c>
      <c r="AE1483" s="3">
        <v>14</v>
      </c>
      <c r="AF1483" s="3" t="s">
        <v>0</v>
      </c>
      <c r="AG1483" s="3" t="s">
        <v>49</v>
      </c>
    </row>
    <row r="1484" spans="1:33" ht="51" x14ac:dyDescent="0.2">
      <c r="A1484" s="4" t="str">
        <f>HYPERLINK("http://www.patentics.cn/invokexml.do?sf=ShowPatent&amp;spn=WO2011011956&amp;sv=b1d18fa446918fc643c0e5deba5e20a2","WO2011011956")</f>
        <v>WO2011011956</v>
      </c>
      <c r="B1484" s="2" t="s">
        <v>6773</v>
      </c>
      <c r="C1484" s="2" t="s">
        <v>6774</v>
      </c>
      <c r="D1484" s="2" t="s">
        <v>6775</v>
      </c>
      <c r="E1484" s="2" t="s">
        <v>6775</v>
      </c>
      <c r="F1484" s="2" t="s">
        <v>6776</v>
      </c>
      <c r="G1484" s="2" t="s">
        <v>6777</v>
      </c>
      <c r="H1484" s="2" t="s">
        <v>4572</v>
      </c>
      <c r="I1484" s="2" t="s">
        <v>6778</v>
      </c>
      <c r="J1484" s="2" t="s">
        <v>1471</v>
      </c>
      <c r="K1484" s="2" t="s">
        <v>58</v>
      </c>
      <c r="L1484" s="2" t="s">
        <v>722</v>
      </c>
      <c r="M1484" s="2" t="s">
        <v>0</v>
      </c>
      <c r="N1484" s="2" t="s">
        <v>0</v>
      </c>
      <c r="O1484" s="2">
        <v>1</v>
      </c>
      <c r="P1484" s="2">
        <v>46</v>
      </c>
      <c r="Q1484" s="2" t="s">
        <v>352</v>
      </c>
      <c r="R1484" s="2" t="s">
        <v>47</v>
      </c>
      <c r="S1484" s="2">
        <v>4</v>
      </c>
      <c r="T1484" s="2">
        <v>0</v>
      </c>
      <c r="U1484" s="2">
        <v>4</v>
      </c>
      <c r="V1484" s="2">
        <v>4</v>
      </c>
      <c r="W1484" s="2">
        <v>1</v>
      </c>
      <c r="X1484" s="2" t="s">
        <v>403</v>
      </c>
      <c r="Y1484" s="2">
        <v>0</v>
      </c>
      <c r="Z1484" s="2">
        <v>1</v>
      </c>
      <c r="AA1484" s="2">
        <v>1</v>
      </c>
      <c r="AB1484" s="2">
        <v>1</v>
      </c>
      <c r="AC1484" s="2">
        <v>3</v>
      </c>
      <c r="AD1484" s="2">
        <v>4</v>
      </c>
      <c r="AE1484" s="2" t="s">
        <v>0</v>
      </c>
      <c r="AF1484" s="2">
        <v>1</v>
      </c>
      <c r="AG1484" s="2" t="s">
        <v>0</v>
      </c>
    </row>
    <row r="1485" spans="1:33" ht="127.5" x14ac:dyDescent="0.2">
      <c r="A1485" s="5" t="str">
        <f>HYPERLINK("http://www.patentics.cn/invokexml.do?sf=ShowPatent&amp;spn=US9173192&amp;sv=70bdbf2bab09968acda5e74ec0d0df3d","US9173192")</f>
        <v>US9173192</v>
      </c>
      <c r="B1485" s="3" t="s">
        <v>6779</v>
      </c>
      <c r="C1485" s="3" t="s">
        <v>6780</v>
      </c>
      <c r="D1485" s="3" t="s">
        <v>52</v>
      </c>
      <c r="E1485" s="3" t="s">
        <v>52</v>
      </c>
      <c r="F1485" s="3" t="s">
        <v>6781</v>
      </c>
      <c r="G1485" s="3" t="s">
        <v>2752</v>
      </c>
      <c r="H1485" s="3" t="s">
        <v>1390</v>
      </c>
      <c r="I1485" s="3" t="s">
        <v>6648</v>
      </c>
      <c r="J1485" s="3" t="s">
        <v>263</v>
      </c>
      <c r="K1485" s="3" t="s">
        <v>82</v>
      </c>
      <c r="L1485" s="3" t="s">
        <v>2457</v>
      </c>
      <c r="M1485" s="3" t="s">
        <v>82</v>
      </c>
      <c r="N1485" s="3" t="s">
        <v>1420</v>
      </c>
      <c r="O1485" s="3">
        <v>0</v>
      </c>
      <c r="P1485" s="3">
        <v>18</v>
      </c>
      <c r="Q1485" s="3" t="s">
        <v>60</v>
      </c>
      <c r="R1485" s="3" t="s">
        <v>61</v>
      </c>
      <c r="S1485" s="3">
        <v>22</v>
      </c>
      <c r="T1485" s="3">
        <v>0</v>
      </c>
      <c r="U1485" s="3">
        <v>22</v>
      </c>
      <c r="V1485" s="3">
        <v>13</v>
      </c>
      <c r="W1485" s="3">
        <v>0</v>
      </c>
      <c r="X1485" s="3" t="s">
        <v>147</v>
      </c>
      <c r="Y1485" s="3">
        <v>0</v>
      </c>
      <c r="Z1485" s="3">
        <v>0</v>
      </c>
      <c r="AA1485" s="3">
        <v>0</v>
      </c>
      <c r="AB1485" s="3">
        <v>0</v>
      </c>
      <c r="AC1485" s="3">
        <v>12</v>
      </c>
      <c r="AD1485" s="3">
        <v>5</v>
      </c>
      <c r="AE1485" s="3">
        <v>14</v>
      </c>
      <c r="AF1485" s="3" t="s">
        <v>0</v>
      </c>
      <c r="AG1485" s="3" t="s">
        <v>49</v>
      </c>
    </row>
    <row r="1486" spans="1:33" ht="38.25" x14ac:dyDescent="0.2">
      <c r="A1486" s="4" t="str">
        <f>HYPERLINK("http://www.patentics.cn/invokexml.do?sf=ShowPatent&amp;spn=WO2010149101&amp;sv=60716915372a03b91becbc293cb1cb3d","WO2010149101")</f>
        <v>WO2010149101</v>
      </c>
      <c r="B1486" s="2" t="s">
        <v>6782</v>
      </c>
      <c r="C1486" s="2" t="s">
        <v>6783</v>
      </c>
      <c r="D1486" s="2" t="s">
        <v>6784</v>
      </c>
      <c r="E1486" s="2" t="s">
        <v>6784</v>
      </c>
      <c r="F1486" s="2" t="s">
        <v>6785</v>
      </c>
      <c r="G1486" s="2" t="s">
        <v>6786</v>
      </c>
      <c r="H1486" s="2" t="s">
        <v>1568</v>
      </c>
      <c r="I1486" s="2" t="s">
        <v>3175</v>
      </c>
      <c r="J1486" s="2" t="s">
        <v>6787</v>
      </c>
      <c r="K1486" s="2" t="s">
        <v>82</v>
      </c>
      <c r="L1486" s="2" t="s">
        <v>2457</v>
      </c>
      <c r="M1486" s="2" t="s">
        <v>0</v>
      </c>
      <c r="N1486" s="2" t="s">
        <v>0</v>
      </c>
      <c r="O1486" s="2">
        <v>0</v>
      </c>
      <c r="P1486" s="2">
        <v>0</v>
      </c>
      <c r="Q1486" s="2" t="s">
        <v>352</v>
      </c>
      <c r="R1486" s="2" t="s">
        <v>47</v>
      </c>
      <c r="S1486" s="2">
        <v>5</v>
      </c>
      <c r="T1486" s="2">
        <v>4</v>
      </c>
      <c r="U1486" s="2">
        <v>1</v>
      </c>
      <c r="V1486" s="2">
        <v>2</v>
      </c>
      <c r="W1486" s="2">
        <v>1</v>
      </c>
      <c r="X1486" s="2" t="s">
        <v>1186</v>
      </c>
      <c r="Y1486" s="2">
        <v>0</v>
      </c>
      <c r="Z1486" s="2">
        <v>1</v>
      </c>
      <c r="AA1486" s="2">
        <v>1</v>
      </c>
      <c r="AB1486" s="2">
        <v>1</v>
      </c>
      <c r="AC1486" s="2">
        <v>2</v>
      </c>
      <c r="AD1486" s="2">
        <v>2</v>
      </c>
      <c r="AE1486" s="2" t="s">
        <v>0</v>
      </c>
      <c r="AF1486" s="2">
        <v>1</v>
      </c>
      <c r="AG1486" s="2" t="s">
        <v>0</v>
      </c>
    </row>
    <row r="1487" spans="1:33" ht="38.25" x14ac:dyDescent="0.2">
      <c r="A1487" s="5" t="str">
        <f>HYPERLINK("http://www.patentics.cn/invokexml.do?sf=ShowPatent&amp;spn=US9294240&amp;sv=d872764c04c96b250c27e322ec11b916","US9294240")</f>
        <v>US9294240</v>
      </c>
      <c r="B1487" s="3" t="s">
        <v>6788</v>
      </c>
      <c r="C1487" s="3" t="s">
        <v>6789</v>
      </c>
      <c r="D1487" s="3" t="s">
        <v>52</v>
      </c>
      <c r="E1487" s="3" t="s">
        <v>52</v>
      </c>
      <c r="F1487" s="3" t="s">
        <v>6790</v>
      </c>
      <c r="G1487" s="3" t="s">
        <v>944</v>
      </c>
      <c r="H1487" s="3" t="s">
        <v>6791</v>
      </c>
      <c r="I1487" s="3" t="s">
        <v>6792</v>
      </c>
      <c r="J1487" s="3" t="s">
        <v>696</v>
      </c>
      <c r="K1487" s="3" t="s">
        <v>82</v>
      </c>
      <c r="L1487" s="3" t="s">
        <v>83</v>
      </c>
      <c r="M1487" s="3" t="s">
        <v>58</v>
      </c>
      <c r="N1487" s="3" t="s">
        <v>6793</v>
      </c>
      <c r="O1487" s="3">
        <v>0</v>
      </c>
      <c r="P1487" s="3">
        <v>20</v>
      </c>
      <c r="Q1487" s="3" t="s">
        <v>60</v>
      </c>
      <c r="R1487" s="3" t="s">
        <v>61</v>
      </c>
      <c r="S1487" s="3">
        <v>15</v>
      </c>
      <c r="T1487" s="3">
        <v>0</v>
      </c>
      <c r="U1487" s="3">
        <v>15</v>
      </c>
      <c r="V1487" s="3">
        <v>5</v>
      </c>
      <c r="W1487" s="3">
        <v>0</v>
      </c>
      <c r="X1487" s="3" t="s">
        <v>147</v>
      </c>
      <c r="Y1487" s="3">
        <v>0</v>
      </c>
      <c r="Z1487" s="3">
        <v>0</v>
      </c>
      <c r="AA1487" s="3">
        <v>0</v>
      </c>
      <c r="AB1487" s="3">
        <v>0</v>
      </c>
      <c r="AC1487" s="3">
        <v>9</v>
      </c>
      <c r="AD1487" s="3">
        <v>6</v>
      </c>
      <c r="AE1487" s="3">
        <v>14</v>
      </c>
      <c r="AF1487" s="3" t="s">
        <v>0</v>
      </c>
      <c r="AG1487" s="3" t="s">
        <v>49</v>
      </c>
    </row>
    <row r="1488" spans="1:33" ht="76.5" x14ac:dyDescent="0.2">
      <c r="A1488" s="4" t="str">
        <f>HYPERLINK("http://www.patentics.cn/invokexml.do?sf=ShowPatent&amp;spn=WO2010145615&amp;sv=29ba18863256c13d3f6ad52438fa4111","WO2010145615")</f>
        <v>WO2010145615</v>
      </c>
      <c r="B1488" s="2" t="s">
        <v>6794</v>
      </c>
      <c r="C1488" s="2" t="s">
        <v>6795</v>
      </c>
      <c r="D1488" s="2" t="s">
        <v>6796</v>
      </c>
      <c r="E1488" s="2" t="s">
        <v>6796</v>
      </c>
      <c r="F1488" s="2" t="s">
        <v>6797</v>
      </c>
      <c r="G1488" s="2" t="s">
        <v>6798</v>
      </c>
      <c r="H1488" s="2" t="s">
        <v>5879</v>
      </c>
      <c r="I1488" s="2" t="s">
        <v>3175</v>
      </c>
      <c r="J1488" s="2" t="s">
        <v>1191</v>
      </c>
      <c r="K1488" s="2" t="s">
        <v>84</v>
      </c>
      <c r="L1488" s="2" t="s">
        <v>506</v>
      </c>
      <c r="M1488" s="2" t="s">
        <v>0</v>
      </c>
      <c r="N1488" s="2" t="s">
        <v>0</v>
      </c>
      <c r="O1488" s="2">
        <v>0</v>
      </c>
      <c r="P1488" s="2">
        <v>0</v>
      </c>
      <c r="Q1488" s="2" t="s">
        <v>352</v>
      </c>
      <c r="R1488" s="2" t="s">
        <v>47</v>
      </c>
      <c r="S1488" s="2">
        <v>4</v>
      </c>
      <c r="T1488" s="2">
        <v>3</v>
      </c>
      <c r="U1488" s="2">
        <v>1</v>
      </c>
      <c r="V1488" s="2">
        <v>2</v>
      </c>
      <c r="W1488" s="2">
        <v>1</v>
      </c>
      <c r="X1488" s="2" t="s">
        <v>403</v>
      </c>
      <c r="Y1488" s="2">
        <v>0</v>
      </c>
      <c r="Z1488" s="2">
        <v>1</v>
      </c>
      <c r="AA1488" s="2">
        <v>1</v>
      </c>
      <c r="AB1488" s="2">
        <v>1</v>
      </c>
      <c r="AC1488" s="2">
        <v>2</v>
      </c>
      <c r="AD1488" s="2">
        <v>2</v>
      </c>
      <c r="AE1488" s="2" t="s">
        <v>0</v>
      </c>
      <c r="AF1488" s="2">
        <v>1</v>
      </c>
      <c r="AG1488" s="2" t="s">
        <v>0</v>
      </c>
    </row>
    <row r="1489" spans="1:33" ht="178.5" x14ac:dyDescent="0.2">
      <c r="A1489" s="5" t="str">
        <f>HYPERLINK("http://www.patentics.cn/invokexml.do?sf=ShowPatent&amp;spn=US8891387&amp;sv=b0f609e5716d9faf476988ab7821df9f","US8891387")</f>
        <v>US8891387</v>
      </c>
      <c r="B1489" s="3" t="s">
        <v>6799</v>
      </c>
      <c r="C1489" s="3" t="s">
        <v>6800</v>
      </c>
      <c r="D1489" s="3" t="s">
        <v>52</v>
      </c>
      <c r="E1489" s="3" t="s">
        <v>52</v>
      </c>
      <c r="F1489" s="3" t="s">
        <v>6801</v>
      </c>
      <c r="G1489" s="3" t="s">
        <v>6802</v>
      </c>
      <c r="H1489" s="3" t="s">
        <v>3801</v>
      </c>
      <c r="I1489" s="3" t="s">
        <v>5058</v>
      </c>
      <c r="J1489" s="3" t="s">
        <v>1993</v>
      </c>
      <c r="K1489" s="3" t="s">
        <v>82</v>
      </c>
      <c r="L1489" s="3" t="s">
        <v>83</v>
      </c>
      <c r="M1489" s="3" t="s">
        <v>84</v>
      </c>
      <c r="N1489" s="3" t="s">
        <v>6803</v>
      </c>
      <c r="O1489" s="3">
        <v>0</v>
      </c>
      <c r="P1489" s="3">
        <v>9</v>
      </c>
      <c r="Q1489" s="3" t="s">
        <v>60</v>
      </c>
      <c r="R1489" s="3" t="s">
        <v>61</v>
      </c>
      <c r="S1489" s="3">
        <v>22</v>
      </c>
      <c r="T1489" s="3">
        <v>2</v>
      </c>
      <c r="U1489" s="3">
        <v>20</v>
      </c>
      <c r="V1489" s="3">
        <v>13</v>
      </c>
      <c r="W1489" s="3">
        <v>6</v>
      </c>
      <c r="X1489" s="3" t="s">
        <v>147</v>
      </c>
      <c r="Y1489" s="3">
        <v>0</v>
      </c>
      <c r="Z1489" s="3">
        <v>6</v>
      </c>
      <c r="AA1489" s="3">
        <v>0</v>
      </c>
      <c r="AB1489" s="3">
        <v>1</v>
      </c>
      <c r="AC1489" s="3">
        <v>6</v>
      </c>
      <c r="AD1489" s="3">
        <v>6</v>
      </c>
      <c r="AE1489" s="3">
        <v>14</v>
      </c>
      <c r="AF1489" s="3" t="s">
        <v>0</v>
      </c>
      <c r="AG1489" s="3" t="s">
        <v>49</v>
      </c>
    </row>
    <row r="1490" spans="1:33" ht="38.25" x14ac:dyDescent="0.2">
      <c r="A1490" s="4" t="str">
        <f>HYPERLINK("http://www.patentics.cn/invokexml.do?sf=ShowPatent&amp;spn=WO2010145437&amp;sv=3c68dcfd63c75f9a78b4e6c12cfbd613","WO2010145437")</f>
        <v>WO2010145437</v>
      </c>
      <c r="B1490" s="2" t="s">
        <v>6804</v>
      </c>
      <c r="C1490" s="2" t="s">
        <v>6805</v>
      </c>
      <c r="D1490" s="2" t="s">
        <v>6806</v>
      </c>
      <c r="E1490" s="2" t="s">
        <v>6806</v>
      </c>
      <c r="F1490" s="2" t="s">
        <v>6807</v>
      </c>
      <c r="G1490" s="2" t="s">
        <v>6808</v>
      </c>
      <c r="H1490" s="2" t="s">
        <v>6809</v>
      </c>
      <c r="I1490" s="2" t="s">
        <v>5507</v>
      </c>
      <c r="J1490" s="2" t="s">
        <v>1191</v>
      </c>
      <c r="K1490" s="2" t="s">
        <v>82</v>
      </c>
      <c r="L1490" s="2" t="s">
        <v>2015</v>
      </c>
      <c r="M1490" s="2" t="s">
        <v>0</v>
      </c>
      <c r="N1490" s="2" t="s">
        <v>0</v>
      </c>
      <c r="O1490" s="2">
        <v>0</v>
      </c>
      <c r="P1490" s="2">
        <v>0</v>
      </c>
      <c r="Q1490" s="2" t="s">
        <v>352</v>
      </c>
      <c r="R1490" s="2" t="s">
        <v>47</v>
      </c>
      <c r="S1490" s="2">
        <v>3</v>
      </c>
      <c r="T1490" s="2">
        <v>1</v>
      </c>
      <c r="U1490" s="2">
        <v>2</v>
      </c>
      <c r="V1490" s="2">
        <v>3</v>
      </c>
      <c r="W1490" s="2">
        <v>7</v>
      </c>
      <c r="X1490" s="2" t="s">
        <v>1186</v>
      </c>
      <c r="Y1490" s="2">
        <v>0</v>
      </c>
      <c r="Z1490" s="2">
        <v>7</v>
      </c>
      <c r="AA1490" s="2">
        <v>1</v>
      </c>
      <c r="AB1490" s="2">
        <v>2</v>
      </c>
      <c r="AC1490" s="2">
        <v>5</v>
      </c>
      <c r="AD1490" s="2">
        <v>4</v>
      </c>
      <c r="AE1490" s="2" t="s">
        <v>0</v>
      </c>
      <c r="AF1490" s="2">
        <v>1</v>
      </c>
      <c r="AG1490" s="2" t="s">
        <v>0</v>
      </c>
    </row>
    <row r="1491" spans="1:33" ht="331.5" x14ac:dyDescent="0.2">
      <c r="A1491" s="5" t="str">
        <f>HYPERLINK("http://www.patentics.cn/invokexml.do?sf=ShowPatent&amp;spn=US9456337&amp;sv=dd138e2211955ef09fbc1839d1db9336","US9456337")</f>
        <v>US9456337</v>
      </c>
      <c r="B1491" s="3" t="s">
        <v>6810</v>
      </c>
      <c r="C1491" s="3" t="s">
        <v>6811</v>
      </c>
      <c r="D1491" s="3" t="s">
        <v>52</v>
      </c>
      <c r="E1491" s="3" t="s">
        <v>52</v>
      </c>
      <c r="F1491" s="3" t="s">
        <v>6812</v>
      </c>
      <c r="G1491" s="3" t="s">
        <v>4528</v>
      </c>
      <c r="H1491" s="3" t="s">
        <v>0</v>
      </c>
      <c r="I1491" s="3" t="s">
        <v>3387</v>
      </c>
      <c r="J1491" s="3" t="s">
        <v>721</v>
      </c>
      <c r="K1491" s="3" t="s">
        <v>270</v>
      </c>
      <c r="L1491" s="3" t="s">
        <v>6554</v>
      </c>
      <c r="M1491" s="3" t="s">
        <v>82</v>
      </c>
      <c r="N1491" s="3" t="s">
        <v>6813</v>
      </c>
      <c r="O1491" s="3">
        <v>0</v>
      </c>
      <c r="P1491" s="3">
        <v>19</v>
      </c>
      <c r="Q1491" s="3" t="s">
        <v>60</v>
      </c>
      <c r="R1491" s="3" t="s">
        <v>61</v>
      </c>
      <c r="S1491" s="3">
        <v>26</v>
      </c>
      <c r="T1491" s="3">
        <v>4</v>
      </c>
      <c r="U1491" s="3">
        <v>22</v>
      </c>
      <c r="V1491" s="3">
        <v>10</v>
      </c>
      <c r="W1491" s="3">
        <v>0</v>
      </c>
      <c r="X1491" s="3" t="s">
        <v>147</v>
      </c>
      <c r="Y1491" s="3">
        <v>0</v>
      </c>
      <c r="Z1491" s="3">
        <v>0</v>
      </c>
      <c r="AA1491" s="3">
        <v>0</v>
      </c>
      <c r="AB1491" s="3">
        <v>0</v>
      </c>
      <c r="AC1491" s="3">
        <v>0</v>
      </c>
      <c r="AD1491" s="3">
        <v>0</v>
      </c>
      <c r="AE1491" s="3">
        <v>14</v>
      </c>
      <c r="AF1491" s="3" t="s">
        <v>0</v>
      </c>
      <c r="AG1491" s="3" t="s">
        <v>49</v>
      </c>
    </row>
    <row r="1492" spans="1:33" ht="51" x14ac:dyDescent="0.2">
      <c r="A1492" s="4" t="str">
        <f>HYPERLINK("http://www.patentics.cn/invokexml.do?sf=ShowPatent&amp;spn=WO2010145348&amp;sv=e9ccac03b787c89d17ac19089280825a","WO2010145348")</f>
        <v>WO2010145348</v>
      </c>
      <c r="B1492" s="2" t="s">
        <v>6814</v>
      </c>
      <c r="C1492" s="2" t="s">
        <v>6815</v>
      </c>
      <c r="D1492" s="2" t="s">
        <v>6816</v>
      </c>
      <c r="E1492" s="2" t="s">
        <v>6816</v>
      </c>
      <c r="F1492" s="2" t="s">
        <v>6817</v>
      </c>
      <c r="G1492" s="2" t="s">
        <v>6818</v>
      </c>
      <c r="H1492" s="2" t="s">
        <v>5879</v>
      </c>
      <c r="I1492" s="2" t="s">
        <v>6819</v>
      </c>
      <c r="J1492" s="2" t="s">
        <v>1191</v>
      </c>
      <c r="K1492" s="2" t="s">
        <v>82</v>
      </c>
      <c r="L1492" s="2" t="s">
        <v>6820</v>
      </c>
      <c r="M1492" s="2" t="s">
        <v>0</v>
      </c>
      <c r="N1492" s="2" t="s">
        <v>0</v>
      </c>
      <c r="O1492" s="2">
        <v>0</v>
      </c>
      <c r="P1492" s="2">
        <v>0</v>
      </c>
      <c r="Q1492" s="2" t="s">
        <v>352</v>
      </c>
      <c r="R1492" s="2" t="s">
        <v>47</v>
      </c>
      <c r="S1492" s="2">
        <v>1</v>
      </c>
      <c r="T1492" s="2">
        <v>1</v>
      </c>
      <c r="U1492" s="2">
        <v>0</v>
      </c>
      <c r="V1492" s="2">
        <v>1</v>
      </c>
      <c r="W1492" s="2">
        <v>2</v>
      </c>
      <c r="X1492" s="2" t="s">
        <v>6821</v>
      </c>
      <c r="Y1492" s="2">
        <v>1</v>
      </c>
      <c r="Z1492" s="2">
        <v>1</v>
      </c>
      <c r="AA1492" s="2">
        <v>2</v>
      </c>
      <c r="AB1492" s="2">
        <v>2</v>
      </c>
      <c r="AC1492" s="2">
        <v>1</v>
      </c>
      <c r="AD1492" s="2">
        <v>2</v>
      </c>
      <c r="AE1492" s="2" t="s">
        <v>0</v>
      </c>
      <c r="AF1492" s="2">
        <v>1</v>
      </c>
      <c r="AG1492" s="2" t="s">
        <v>0</v>
      </c>
    </row>
    <row r="1493" spans="1:33" ht="63.75" x14ac:dyDescent="0.2">
      <c r="A1493" s="5" t="str">
        <f>HYPERLINK("http://www.patentics.cn/invokexml.do?sf=ShowPatent&amp;spn=US8964663&amp;sv=d441bb74a30a2769cd41c117fcc4bef1","US8964663")</f>
        <v>US8964663</v>
      </c>
      <c r="B1493" s="3" t="s">
        <v>6157</v>
      </c>
      <c r="C1493" s="3" t="s">
        <v>6158</v>
      </c>
      <c r="D1493" s="3" t="s">
        <v>52</v>
      </c>
      <c r="E1493" s="3" t="s">
        <v>52</v>
      </c>
      <c r="F1493" s="3" t="s">
        <v>3737</v>
      </c>
      <c r="G1493" s="3" t="s">
        <v>2871</v>
      </c>
      <c r="H1493" s="3" t="s">
        <v>604</v>
      </c>
      <c r="I1493" s="3" t="s">
        <v>6159</v>
      </c>
      <c r="J1493" s="3" t="s">
        <v>805</v>
      </c>
      <c r="K1493" s="3" t="s">
        <v>70</v>
      </c>
      <c r="L1493" s="3" t="s">
        <v>6160</v>
      </c>
      <c r="M1493" s="3" t="s">
        <v>82</v>
      </c>
      <c r="N1493" s="3" t="s">
        <v>1454</v>
      </c>
      <c r="O1493" s="3">
        <v>0</v>
      </c>
      <c r="P1493" s="3">
        <v>19</v>
      </c>
      <c r="Q1493" s="3" t="s">
        <v>60</v>
      </c>
      <c r="R1493" s="3" t="s">
        <v>61</v>
      </c>
      <c r="S1493" s="3">
        <v>32</v>
      </c>
      <c r="T1493" s="3">
        <v>1</v>
      </c>
      <c r="U1493" s="3">
        <v>31</v>
      </c>
      <c r="V1493" s="3">
        <v>17</v>
      </c>
      <c r="W1493" s="3">
        <v>1</v>
      </c>
      <c r="X1493" s="3" t="s">
        <v>1186</v>
      </c>
      <c r="Y1493" s="3">
        <v>0</v>
      </c>
      <c r="Z1493" s="3">
        <v>1</v>
      </c>
      <c r="AA1493" s="3">
        <v>1</v>
      </c>
      <c r="AB1493" s="3">
        <v>1</v>
      </c>
      <c r="AC1493" s="3">
        <v>7</v>
      </c>
      <c r="AD1493" s="3">
        <v>6</v>
      </c>
      <c r="AE1493" s="3">
        <v>14</v>
      </c>
      <c r="AF1493" s="3" t="s">
        <v>0</v>
      </c>
      <c r="AG1493" s="3" t="s">
        <v>49</v>
      </c>
    </row>
    <row r="1494" spans="1:33" ht="38.25" x14ac:dyDescent="0.2">
      <c r="A1494" s="4" t="str">
        <f>HYPERLINK("http://www.patentics.cn/invokexml.do?sf=ShowPatent&amp;spn=WO2010145185&amp;sv=c4797fa430786e2972c4d582144503b7","WO2010145185")</f>
        <v>WO2010145185</v>
      </c>
      <c r="B1494" s="2" t="s">
        <v>6822</v>
      </c>
      <c r="C1494" s="2" t="s">
        <v>6823</v>
      </c>
      <c r="D1494" s="2" t="s">
        <v>6824</v>
      </c>
      <c r="E1494" s="2" t="s">
        <v>6824</v>
      </c>
      <c r="F1494" s="2" t="s">
        <v>6825</v>
      </c>
      <c r="G1494" s="2" t="s">
        <v>6777</v>
      </c>
      <c r="H1494" s="2" t="s">
        <v>4250</v>
      </c>
      <c r="I1494" s="2" t="s">
        <v>4150</v>
      </c>
      <c r="J1494" s="2" t="s">
        <v>1191</v>
      </c>
      <c r="K1494" s="2" t="s">
        <v>82</v>
      </c>
      <c r="L1494" s="2" t="s">
        <v>2297</v>
      </c>
      <c r="M1494" s="2" t="s">
        <v>0</v>
      </c>
      <c r="N1494" s="2" t="s">
        <v>0</v>
      </c>
      <c r="O1494" s="2">
        <v>0</v>
      </c>
      <c r="P1494" s="2">
        <v>0</v>
      </c>
      <c r="Q1494" s="2" t="s">
        <v>352</v>
      </c>
      <c r="R1494" s="2" t="s">
        <v>47</v>
      </c>
      <c r="S1494" s="2">
        <v>6</v>
      </c>
      <c r="T1494" s="2">
        <v>0</v>
      </c>
      <c r="U1494" s="2">
        <v>6</v>
      </c>
      <c r="V1494" s="2">
        <v>5</v>
      </c>
      <c r="W1494" s="2">
        <v>2</v>
      </c>
      <c r="X1494" s="2" t="s">
        <v>6826</v>
      </c>
      <c r="Y1494" s="2">
        <v>0</v>
      </c>
      <c r="Z1494" s="2">
        <v>2</v>
      </c>
      <c r="AA1494" s="2">
        <v>2</v>
      </c>
      <c r="AB1494" s="2">
        <v>2</v>
      </c>
      <c r="AC1494" s="2">
        <v>7</v>
      </c>
      <c r="AD1494" s="2">
        <v>6</v>
      </c>
      <c r="AE1494" s="2" t="s">
        <v>0</v>
      </c>
      <c r="AF1494" s="2">
        <v>1</v>
      </c>
      <c r="AG1494" s="2" t="s">
        <v>0</v>
      </c>
    </row>
    <row r="1495" spans="1:33" ht="76.5" x14ac:dyDescent="0.2">
      <c r="A1495" s="5" t="str">
        <f>HYPERLINK("http://www.patentics.cn/invokexml.do?sf=ShowPatent&amp;spn=JP2016054516&amp;sv=bd89ad921642645fbdc1e7d284e72b19","JP2016054516")</f>
        <v>JP2016054516</v>
      </c>
      <c r="B1495" s="3" t="s">
        <v>6827</v>
      </c>
      <c r="C1495" s="3" t="s">
        <v>6828</v>
      </c>
      <c r="D1495" s="3" t="s">
        <v>52</v>
      </c>
      <c r="E1495" s="3" t="s">
        <v>52</v>
      </c>
      <c r="F1495" s="3" t="s">
        <v>6829</v>
      </c>
      <c r="G1495" s="3" t="s">
        <v>6830</v>
      </c>
      <c r="H1495" s="3" t="s">
        <v>0</v>
      </c>
      <c r="I1495" s="3" t="s">
        <v>6831</v>
      </c>
      <c r="J1495" s="3" t="s">
        <v>6832</v>
      </c>
      <c r="K1495" s="3" t="s">
        <v>58</v>
      </c>
      <c r="L1495" s="3" t="s">
        <v>6833</v>
      </c>
      <c r="M1495" s="3" t="s">
        <v>0</v>
      </c>
      <c r="N1495" s="3" t="s">
        <v>0</v>
      </c>
      <c r="O1495" s="3">
        <v>36</v>
      </c>
      <c r="P1495" s="3">
        <v>6</v>
      </c>
      <c r="Q1495" s="3" t="s">
        <v>352</v>
      </c>
      <c r="R1495" s="3" t="s">
        <v>6834</v>
      </c>
      <c r="S1495" s="3">
        <v>2</v>
      </c>
      <c r="T1495" s="3">
        <v>0</v>
      </c>
      <c r="U1495" s="3">
        <v>2</v>
      </c>
      <c r="V1495" s="3">
        <v>2</v>
      </c>
      <c r="W1495" s="3">
        <v>12</v>
      </c>
      <c r="X1495" s="3" t="s">
        <v>147</v>
      </c>
      <c r="Y1495" s="3">
        <v>0</v>
      </c>
      <c r="Z1495" s="3">
        <v>12</v>
      </c>
      <c r="AA1495" s="3">
        <v>0</v>
      </c>
      <c r="AB1495" s="3">
        <v>1</v>
      </c>
      <c r="AC1495" s="3">
        <v>0</v>
      </c>
      <c r="AD1495" s="3">
        <v>0</v>
      </c>
      <c r="AE1495" s="3">
        <v>14</v>
      </c>
      <c r="AF1495" s="3" t="s">
        <v>0</v>
      </c>
      <c r="AG1495" s="3" t="s">
        <v>0</v>
      </c>
    </row>
    <row r="1496" spans="1:33" ht="51" x14ac:dyDescent="0.2">
      <c r="A1496" s="4" t="str">
        <f>HYPERLINK("http://www.patentics.cn/invokexml.do?sf=ShowPatent&amp;spn=WO2010130121&amp;sv=3ab2c64e6a3122cde9a037b4dfa6e421","WO2010130121")</f>
        <v>WO2010130121</v>
      </c>
      <c r="B1496" s="2" t="s">
        <v>6835</v>
      </c>
      <c r="C1496" s="2" t="s">
        <v>6836</v>
      </c>
      <c r="D1496" s="2" t="s">
        <v>6837</v>
      </c>
      <c r="E1496" s="2" t="s">
        <v>6837</v>
      </c>
      <c r="F1496" s="2" t="s">
        <v>6838</v>
      </c>
      <c r="G1496" s="2" t="s">
        <v>6839</v>
      </c>
      <c r="H1496" s="2" t="s">
        <v>6362</v>
      </c>
      <c r="I1496" s="2" t="s">
        <v>2866</v>
      </c>
      <c r="J1496" s="2" t="s">
        <v>1365</v>
      </c>
      <c r="K1496" s="2" t="s">
        <v>58</v>
      </c>
      <c r="L1496" s="2" t="s">
        <v>5419</v>
      </c>
      <c r="M1496" s="2" t="s">
        <v>0</v>
      </c>
      <c r="N1496" s="2" t="s">
        <v>0</v>
      </c>
      <c r="O1496" s="2">
        <v>0</v>
      </c>
      <c r="P1496" s="2">
        <v>0</v>
      </c>
      <c r="Q1496" s="2" t="s">
        <v>352</v>
      </c>
      <c r="R1496" s="2" t="s">
        <v>47</v>
      </c>
      <c r="S1496" s="2">
        <v>3</v>
      </c>
      <c r="T1496" s="2">
        <v>0</v>
      </c>
      <c r="U1496" s="2">
        <v>3</v>
      </c>
      <c r="V1496" s="2">
        <v>3</v>
      </c>
      <c r="W1496" s="2">
        <v>2</v>
      </c>
      <c r="X1496" s="2" t="s">
        <v>4736</v>
      </c>
      <c r="Y1496" s="2">
        <v>0</v>
      </c>
      <c r="Z1496" s="2">
        <v>2</v>
      </c>
      <c r="AA1496" s="2">
        <v>2</v>
      </c>
      <c r="AB1496" s="2">
        <v>2</v>
      </c>
      <c r="AC1496" s="2">
        <v>5</v>
      </c>
      <c r="AD1496" s="2">
        <v>4</v>
      </c>
      <c r="AE1496" s="2" t="s">
        <v>0</v>
      </c>
      <c r="AF1496" s="2">
        <v>1</v>
      </c>
      <c r="AG1496" s="2" t="s">
        <v>0</v>
      </c>
    </row>
    <row r="1497" spans="1:33" ht="127.5" x14ac:dyDescent="0.2">
      <c r="A1497" s="5" t="str">
        <f>HYPERLINK("http://www.patentics.cn/invokexml.do?sf=ShowPatent&amp;spn=US9467856&amp;sv=aeb6ac79d71ef01c4edf2495773a6089","US9467856")</f>
        <v>US9467856</v>
      </c>
      <c r="B1497" s="3" t="s">
        <v>6367</v>
      </c>
      <c r="C1497" s="3" t="s">
        <v>6364</v>
      </c>
      <c r="D1497" s="3" t="s">
        <v>52</v>
      </c>
      <c r="E1497" s="3" t="s">
        <v>52</v>
      </c>
      <c r="F1497" s="3" t="s">
        <v>6365</v>
      </c>
      <c r="G1497" s="3" t="s">
        <v>6366</v>
      </c>
      <c r="H1497" s="3" t="s">
        <v>2041</v>
      </c>
      <c r="I1497" s="3" t="s">
        <v>6368</v>
      </c>
      <c r="J1497" s="3" t="s">
        <v>6369</v>
      </c>
      <c r="K1497" s="3" t="s">
        <v>58</v>
      </c>
      <c r="L1497" s="3" t="s">
        <v>722</v>
      </c>
      <c r="M1497" s="3" t="s">
        <v>82</v>
      </c>
      <c r="N1497" s="3" t="s">
        <v>1277</v>
      </c>
      <c r="O1497" s="3">
        <v>0</v>
      </c>
      <c r="P1497" s="3">
        <v>12</v>
      </c>
      <c r="Q1497" s="3" t="s">
        <v>60</v>
      </c>
      <c r="R1497" s="3" t="s">
        <v>61</v>
      </c>
      <c r="S1497" s="3">
        <v>13</v>
      </c>
      <c r="T1497" s="3">
        <v>2</v>
      </c>
      <c r="U1497" s="3">
        <v>11</v>
      </c>
      <c r="V1497" s="3">
        <v>8</v>
      </c>
      <c r="W1497" s="3">
        <v>0</v>
      </c>
      <c r="X1497" s="3" t="s">
        <v>147</v>
      </c>
      <c r="Y1497" s="3">
        <v>0</v>
      </c>
      <c r="Z1497" s="3">
        <v>0</v>
      </c>
      <c r="AA1497" s="3">
        <v>0</v>
      </c>
      <c r="AB1497" s="3">
        <v>0</v>
      </c>
      <c r="AC1497" s="3">
        <v>13</v>
      </c>
      <c r="AD1497" s="3">
        <v>7</v>
      </c>
      <c r="AE1497" s="3">
        <v>14</v>
      </c>
      <c r="AF1497" s="3" t="s">
        <v>0</v>
      </c>
      <c r="AG1497" s="3" t="s">
        <v>49</v>
      </c>
    </row>
    <row r="1498" spans="1:33" ht="51" x14ac:dyDescent="0.2">
      <c r="A1498" s="4" t="str">
        <f>HYPERLINK("http://www.patentics.cn/invokexml.do?sf=ShowPatent&amp;spn=WO2010127585&amp;sv=351302816d23681a644a8e62a3ec0bc9","WO2010127585")</f>
        <v>WO2010127585</v>
      </c>
      <c r="B1498" s="2" t="s">
        <v>6840</v>
      </c>
      <c r="C1498" s="2" t="s">
        <v>6841</v>
      </c>
      <c r="D1498" s="2" t="s">
        <v>6842</v>
      </c>
      <c r="E1498" s="2" t="s">
        <v>6842</v>
      </c>
      <c r="F1498" s="2" t="s">
        <v>6843</v>
      </c>
      <c r="G1498" s="2" t="s">
        <v>6844</v>
      </c>
      <c r="H1498" s="2" t="s">
        <v>6845</v>
      </c>
      <c r="I1498" s="2" t="s">
        <v>1796</v>
      </c>
      <c r="J1498" s="2" t="s">
        <v>6846</v>
      </c>
      <c r="K1498" s="2" t="s">
        <v>82</v>
      </c>
      <c r="L1498" s="2" t="s">
        <v>6847</v>
      </c>
      <c r="M1498" s="2" t="s">
        <v>0</v>
      </c>
      <c r="N1498" s="2" t="s">
        <v>0</v>
      </c>
      <c r="O1498" s="2">
        <v>0</v>
      </c>
      <c r="P1498" s="2">
        <v>0</v>
      </c>
      <c r="Q1498" s="2" t="s">
        <v>352</v>
      </c>
      <c r="R1498" s="2" t="s">
        <v>47</v>
      </c>
      <c r="S1498" s="2">
        <v>5</v>
      </c>
      <c r="T1498" s="2">
        <v>3</v>
      </c>
      <c r="U1498" s="2">
        <v>2</v>
      </c>
      <c r="V1498" s="2">
        <v>3</v>
      </c>
      <c r="W1498" s="2">
        <v>1</v>
      </c>
      <c r="X1498" s="2" t="s">
        <v>5030</v>
      </c>
      <c r="Y1498" s="2">
        <v>0</v>
      </c>
      <c r="Z1498" s="2">
        <v>1</v>
      </c>
      <c r="AA1498" s="2">
        <v>1</v>
      </c>
      <c r="AB1498" s="2">
        <v>1</v>
      </c>
      <c r="AC1498" s="2">
        <v>1</v>
      </c>
      <c r="AD1498" s="2">
        <v>2</v>
      </c>
      <c r="AE1498" s="2" t="s">
        <v>0</v>
      </c>
      <c r="AF1498" s="2">
        <v>1</v>
      </c>
      <c r="AG1498" s="2" t="s">
        <v>0</v>
      </c>
    </row>
    <row r="1499" spans="1:33" ht="51" x14ac:dyDescent="0.2">
      <c r="A1499" s="5" t="str">
        <f>HYPERLINK("http://www.patentics.cn/invokexml.do?sf=ShowPatent&amp;spn=WO2014176100&amp;sv=52d666909114023242c6235f3c89fdcf","WO2014176100")</f>
        <v>WO2014176100</v>
      </c>
      <c r="B1499" s="3" t="s">
        <v>6848</v>
      </c>
      <c r="C1499" s="3" t="s">
        <v>6849</v>
      </c>
      <c r="D1499" s="3" t="s">
        <v>52</v>
      </c>
      <c r="E1499" s="3" t="s">
        <v>52</v>
      </c>
      <c r="F1499" s="3" t="s">
        <v>6850</v>
      </c>
      <c r="G1499" s="3" t="s">
        <v>6851</v>
      </c>
      <c r="H1499" s="3" t="s">
        <v>6852</v>
      </c>
      <c r="I1499" s="3" t="s">
        <v>4070</v>
      </c>
      <c r="J1499" s="3" t="s">
        <v>6853</v>
      </c>
      <c r="K1499" s="3" t="s">
        <v>270</v>
      </c>
      <c r="L1499" s="3" t="s">
        <v>5625</v>
      </c>
      <c r="M1499" s="3" t="s">
        <v>0</v>
      </c>
      <c r="N1499" s="3" t="s">
        <v>0</v>
      </c>
      <c r="O1499" s="3">
        <v>42</v>
      </c>
      <c r="P1499" s="3">
        <v>12</v>
      </c>
      <c r="Q1499" s="3" t="s">
        <v>352</v>
      </c>
      <c r="R1499" s="3" t="s">
        <v>61</v>
      </c>
      <c r="S1499" s="3">
        <v>2</v>
      </c>
      <c r="T1499" s="3">
        <v>0</v>
      </c>
      <c r="U1499" s="3">
        <v>2</v>
      </c>
      <c r="V1499" s="3">
        <v>2</v>
      </c>
      <c r="W1499" s="3">
        <v>0</v>
      </c>
      <c r="X1499" s="3" t="s">
        <v>147</v>
      </c>
      <c r="Y1499" s="3">
        <v>0</v>
      </c>
      <c r="Z1499" s="3">
        <v>0</v>
      </c>
      <c r="AA1499" s="3">
        <v>0</v>
      </c>
      <c r="AB1499" s="3">
        <v>0</v>
      </c>
      <c r="AC1499" s="3">
        <v>4</v>
      </c>
      <c r="AD1499" s="3">
        <v>5</v>
      </c>
      <c r="AE1499" s="3">
        <v>14</v>
      </c>
      <c r="AF1499" s="3" t="s">
        <v>0</v>
      </c>
      <c r="AG1499" s="3" t="s">
        <v>0</v>
      </c>
    </row>
    <row r="1500" spans="1:33" ht="76.5" x14ac:dyDescent="0.2">
      <c r="A1500" s="4" t="str">
        <f>HYPERLINK("http://www.patentics.cn/invokexml.do?sf=ShowPatent&amp;spn=WO2010118681&amp;sv=7a089c991c464856beb26c54044b9e11","WO2010118681")</f>
        <v>WO2010118681</v>
      </c>
      <c r="B1500" s="2" t="s">
        <v>6854</v>
      </c>
      <c r="C1500" s="2" t="s">
        <v>6855</v>
      </c>
      <c r="D1500" s="2" t="s">
        <v>6856</v>
      </c>
      <c r="E1500" s="2" t="s">
        <v>6856</v>
      </c>
      <c r="F1500" s="2" t="s">
        <v>6857</v>
      </c>
      <c r="G1500" s="2" t="s">
        <v>6858</v>
      </c>
      <c r="H1500" s="2" t="s">
        <v>6859</v>
      </c>
      <c r="I1500" s="2" t="s">
        <v>931</v>
      </c>
      <c r="J1500" s="2" t="s">
        <v>5410</v>
      </c>
      <c r="K1500" s="2" t="s">
        <v>82</v>
      </c>
      <c r="L1500" s="2" t="s">
        <v>1767</v>
      </c>
      <c r="M1500" s="2" t="s">
        <v>0</v>
      </c>
      <c r="N1500" s="2" t="s">
        <v>0</v>
      </c>
      <c r="O1500" s="2">
        <v>0</v>
      </c>
      <c r="P1500" s="2">
        <v>0</v>
      </c>
      <c r="Q1500" s="2" t="s">
        <v>352</v>
      </c>
      <c r="R1500" s="2" t="s">
        <v>47</v>
      </c>
      <c r="S1500" s="2">
        <v>3</v>
      </c>
      <c r="T1500" s="2">
        <v>0</v>
      </c>
      <c r="U1500" s="2">
        <v>3</v>
      </c>
      <c r="V1500" s="2">
        <v>3</v>
      </c>
      <c r="W1500" s="2">
        <v>1</v>
      </c>
      <c r="X1500" s="2" t="s">
        <v>74</v>
      </c>
      <c r="Y1500" s="2">
        <v>0</v>
      </c>
      <c r="Z1500" s="2">
        <v>1</v>
      </c>
      <c r="AA1500" s="2">
        <v>1</v>
      </c>
      <c r="AB1500" s="2">
        <v>1</v>
      </c>
      <c r="AC1500" s="2">
        <v>9</v>
      </c>
      <c r="AD1500" s="2">
        <v>7</v>
      </c>
      <c r="AE1500" s="2" t="s">
        <v>0</v>
      </c>
      <c r="AF1500" s="2">
        <v>1</v>
      </c>
      <c r="AG1500" s="2" t="s">
        <v>0</v>
      </c>
    </row>
    <row r="1501" spans="1:33" ht="63.75" x14ac:dyDescent="0.2">
      <c r="A1501" s="5" t="str">
        <f>HYPERLINK("http://www.patentics.cn/invokexml.do?sf=ShowPatent&amp;spn=US9001778&amp;sv=5f1fe9b0d2a32b0ba544256e50619390","US9001778")</f>
        <v>US9001778</v>
      </c>
      <c r="B1501" s="3" t="s">
        <v>6860</v>
      </c>
      <c r="C1501" s="3" t="s">
        <v>6861</v>
      </c>
      <c r="D1501" s="3" t="s">
        <v>52</v>
      </c>
      <c r="E1501" s="3" t="s">
        <v>52</v>
      </c>
      <c r="F1501" s="3" t="s">
        <v>1457</v>
      </c>
      <c r="G1501" s="3" t="s">
        <v>1458</v>
      </c>
      <c r="H1501" s="3" t="s">
        <v>1191</v>
      </c>
      <c r="I1501" s="3" t="s">
        <v>1191</v>
      </c>
      <c r="J1501" s="3" t="s">
        <v>1071</v>
      </c>
      <c r="K1501" s="3" t="s">
        <v>82</v>
      </c>
      <c r="L1501" s="3" t="s">
        <v>83</v>
      </c>
      <c r="M1501" s="3" t="s">
        <v>82</v>
      </c>
      <c r="N1501" s="3" t="s">
        <v>6862</v>
      </c>
      <c r="O1501" s="3">
        <v>0</v>
      </c>
      <c r="P1501" s="3">
        <v>17</v>
      </c>
      <c r="Q1501" s="3" t="s">
        <v>60</v>
      </c>
      <c r="R1501" s="3" t="s">
        <v>61</v>
      </c>
      <c r="S1501" s="3">
        <v>33</v>
      </c>
      <c r="T1501" s="3">
        <v>3</v>
      </c>
      <c r="U1501" s="3">
        <v>30</v>
      </c>
      <c r="V1501" s="3">
        <v>13</v>
      </c>
      <c r="W1501" s="3">
        <v>0</v>
      </c>
      <c r="X1501" s="3" t="s">
        <v>147</v>
      </c>
      <c r="Y1501" s="3">
        <v>0</v>
      </c>
      <c r="Z1501" s="3">
        <v>0</v>
      </c>
      <c r="AA1501" s="3">
        <v>0</v>
      </c>
      <c r="AB1501" s="3">
        <v>0</v>
      </c>
      <c r="AC1501" s="3">
        <v>4</v>
      </c>
      <c r="AD1501" s="3">
        <v>4</v>
      </c>
      <c r="AE1501" s="3">
        <v>14</v>
      </c>
      <c r="AF1501" s="3" t="s">
        <v>0</v>
      </c>
      <c r="AG1501" s="3" t="s">
        <v>49</v>
      </c>
    </row>
    <row r="1502" spans="1:33" ht="38.25" x14ac:dyDescent="0.2">
      <c r="A1502" s="4" t="str">
        <f>HYPERLINK("http://www.patentics.cn/invokexml.do?sf=ShowPatent&amp;spn=WO2010009177&amp;sv=ad3638e8a546422b8be89acbefa24d15","WO2010009177")</f>
        <v>WO2010009177</v>
      </c>
      <c r="B1502" s="2" t="s">
        <v>6863</v>
      </c>
      <c r="C1502" s="2" t="s">
        <v>6864</v>
      </c>
      <c r="D1502" s="2" t="s">
        <v>6865</v>
      </c>
      <c r="E1502" s="2" t="s">
        <v>6866</v>
      </c>
      <c r="F1502" s="2" t="s">
        <v>6867</v>
      </c>
      <c r="G1502" s="2" t="s">
        <v>6868</v>
      </c>
      <c r="H1502" s="2" t="s">
        <v>6480</v>
      </c>
      <c r="I1502" s="2" t="s">
        <v>6481</v>
      </c>
      <c r="J1502" s="2" t="s">
        <v>6869</v>
      </c>
      <c r="K1502" s="2" t="s">
        <v>82</v>
      </c>
      <c r="L1502" s="2" t="s">
        <v>1444</v>
      </c>
      <c r="M1502" s="2" t="s">
        <v>0</v>
      </c>
      <c r="N1502" s="2" t="s">
        <v>0</v>
      </c>
      <c r="O1502" s="2">
        <v>25</v>
      </c>
      <c r="P1502" s="2">
        <v>18</v>
      </c>
      <c r="Q1502" s="2" t="s">
        <v>352</v>
      </c>
      <c r="R1502" s="2" t="s">
        <v>61</v>
      </c>
      <c r="S1502" s="2">
        <v>4</v>
      </c>
      <c r="T1502" s="2">
        <v>0</v>
      </c>
      <c r="U1502" s="2">
        <v>4</v>
      </c>
      <c r="V1502" s="2">
        <v>4</v>
      </c>
      <c r="W1502" s="2">
        <v>1</v>
      </c>
      <c r="X1502" s="2" t="s">
        <v>1206</v>
      </c>
      <c r="Y1502" s="2">
        <v>0</v>
      </c>
      <c r="Z1502" s="2">
        <v>1</v>
      </c>
      <c r="AA1502" s="2">
        <v>1</v>
      </c>
      <c r="AB1502" s="2">
        <v>1</v>
      </c>
      <c r="AC1502" s="2">
        <v>1</v>
      </c>
      <c r="AD1502" s="2">
        <v>2</v>
      </c>
      <c r="AE1502" s="2" t="s">
        <v>0</v>
      </c>
      <c r="AF1502" s="2">
        <v>1</v>
      </c>
      <c r="AG1502" s="2" t="s">
        <v>0</v>
      </c>
    </row>
    <row r="1503" spans="1:33" ht="153" x14ac:dyDescent="0.2">
      <c r="A1503" s="5" t="str">
        <f>HYPERLINK("http://www.patentics.cn/invokexml.do?sf=ShowPatent&amp;spn=WO2016007937&amp;sv=7ffc3826dd60b4c134452c058da283eb","WO2016007937")</f>
        <v>WO2016007937</v>
      </c>
      <c r="B1503" s="3" t="s">
        <v>6870</v>
      </c>
      <c r="C1503" s="3" t="s">
        <v>6871</v>
      </c>
      <c r="D1503" s="3" t="s">
        <v>52</v>
      </c>
      <c r="E1503" s="3" t="s">
        <v>52</v>
      </c>
      <c r="F1503" s="3" t="s">
        <v>6872</v>
      </c>
      <c r="G1503" s="3" t="s">
        <v>6873</v>
      </c>
      <c r="H1503" s="3" t="s">
        <v>6874</v>
      </c>
      <c r="I1503" s="3" t="s">
        <v>6875</v>
      </c>
      <c r="J1503" s="3" t="s">
        <v>6876</v>
      </c>
      <c r="K1503" s="3" t="s">
        <v>82</v>
      </c>
      <c r="L1503" s="3" t="s">
        <v>2849</v>
      </c>
      <c r="M1503" s="3" t="s">
        <v>0</v>
      </c>
      <c r="N1503" s="3" t="s">
        <v>0</v>
      </c>
      <c r="O1503" s="3">
        <v>28</v>
      </c>
      <c r="P1503" s="3">
        <v>13</v>
      </c>
      <c r="Q1503" s="3" t="s">
        <v>352</v>
      </c>
      <c r="R1503" s="3" t="s">
        <v>61</v>
      </c>
      <c r="S1503" s="3">
        <v>3</v>
      </c>
      <c r="T1503" s="3">
        <v>1</v>
      </c>
      <c r="U1503" s="3">
        <v>2</v>
      </c>
      <c r="V1503" s="3">
        <v>3</v>
      </c>
      <c r="W1503" s="3">
        <v>0</v>
      </c>
      <c r="X1503" s="3" t="s">
        <v>147</v>
      </c>
      <c r="Y1503" s="3">
        <v>0</v>
      </c>
      <c r="Z1503" s="3">
        <v>0</v>
      </c>
      <c r="AA1503" s="3">
        <v>0</v>
      </c>
      <c r="AB1503" s="3">
        <v>0</v>
      </c>
      <c r="AC1503" s="3">
        <v>1</v>
      </c>
      <c r="AD1503" s="3">
        <v>2</v>
      </c>
      <c r="AE1503" s="3">
        <v>14</v>
      </c>
      <c r="AF1503" s="3" t="s">
        <v>0</v>
      </c>
      <c r="AG1503" s="3" t="s">
        <v>0</v>
      </c>
    </row>
    <row r="1504" spans="1:33" ht="38.25" x14ac:dyDescent="0.2">
      <c r="A1504" s="4" t="str">
        <f>HYPERLINK("http://www.patentics.cn/invokexml.do?sf=ShowPatent&amp;spn=WO2009149642&amp;sv=e64fd3b76e0efd3c43e0d844e84ff80a","WO2009149642")</f>
        <v>WO2009149642</v>
      </c>
      <c r="B1504" s="2" t="s">
        <v>6877</v>
      </c>
      <c r="C1504" s="2" t="s">
        <v>6878</v>
      </c>
      <c r="D1504" s="2" t="s">
        <v>6879</v>
      </c>
      <c r="E1504" s="2" t="s">
        <v>6879</v>
      </c>
      <c r="F1504" s="2" t="s">
        <v>6880</v>
      </c>
      <c r="G1504" s="2" t="s">
        <v>6881</v>
      </c>
      <c r="H1504" s="2" t="s">
        <v>3130</v>
      </c>
      <c r="I1504" s="2" t="s">
        <v>6882</v>
      </c>
      <c r="J1504" s="2" t="s">
        <v>3051</v>
      </c>
      <c r="K1504" s="2" t="s">
        <v>58</v>
      </c>
      <c r="L1504" s="2" t="s">
        <v>6883</v>
      </c>
      <c r="M1504" s="2" t="s">
        <v>0</v>
      </c>
      <c r="N1504" s="2" t="s">
        <v>0</v>
      </c>
      <c r="O1504" s="2">
        <v>0</v>
      </c>
      <c r="P1504" s="2">
        <v>0</v>
      </c>
      <c r="Q1504" s="2" t="s">
        <v>352</v>
      </c>
      <c r="R1504" s="2" t="s">
        <v>47</v>
      </c>
      <c r="S1504" s="2">
        <v>4</v>
      </c>
      <c r="T1504" s="2">
        <v>3</v>
      </c>
      <c r="U1504" s="2">
        <v>1</v>
      </c>
      <c r="V1504" s="2">
        <v>2</v>
      </c>
      <c r="W1504" s="2">
        <v>1</v>
      </c>
      <c r="X1504" s="2" t="s">
        <v>5030</v>
      </c>
      <c r="Y1504" s="2">
        <v>0</v>
      </c>
      <c r="Z1504" s="2">
        <v>1</v>
      </c>
      <c r="AA1504" s="2">
        <v>1</v>
      </c>
      <c r="AB1504" s="2">
        <v>1</v>
      </c>
      <c r="AC1504" s="2">
        <v>6</v>
      </c>
      <c r="AD1504" s="2">
        <v>4</v>
      </c>
      <c r="AE1504" s="2" t="s">
        <v>0</v>
      </c>
      <c r="AF1504" s="2">
        <v>1</v>
      </c>
      <c r="AG1504" s="2" t="s">
        <v>0</v>
      </c>
    </row>
    <row r="1505" spans="1:33" ht="63.75" x14ac:dyDescent="0.2">
      <c r="A1505" s="5" t="str">
        <f>HYPERLINK("http://www.patentics.cn/invokexml.do?sf=ShowPatent&amp;spn=WO2011091445&amp;sv=5d07de478a832295dcfefeb0012efc78","WO2011091445")</f>
        <v>WO2011091445</v>
      </c>
      <c r="B1505" s="3" t="s">
        <v>6884</v>
      </c>
      <c r="C1505" s="3" t="s">
        <v>6885</v>
      </c>
      <c r="D1505" s="3" t="s">
        <v>6886</v>
      </c>
      <c r="E1505" s="3" t="s">
        <v>6887</v>
      </c>
      <c r="F1505" s="3" t="s">
        <v>6888</v>
      </c>
      <c r="G1505" s="3" t="s">
        <v>4549</v>
      </c>
      <c r="H1505" s="3" t="s">
        <v>1239</v>
      </c>
      <c r="I1505" s="3" t="s">
        <v>2069</v>
      </c>
      <c r="J1505" s="3" t="s">
        <v>6889</v>
      </c>
      <c r="K1505" s="3" t="s">
        <v>82</v>
      </c>
      <c r="L1505" s="3" t="s">
        <v>2015</v>
      </c>
      <c r="M1505" s="3" t="s">
        <v>0</v>
      </c>
      <c r="N1505" s="3" t="s">
        <v>0</v>
      </c>
      <c r="O1505" s="3">
        <v>59</v>
      </c>
      <c r="P1505" s="3">
        <v>14</v>
      </c>
      <c r="Q1505" s="3" t="s">
        <v>352</v>
      </c>
      <c r="R1505" s="3" t="s">
        <v>61</v>
      </c>
      <c r="S1505" s="3">
        <v>2</v>
      </c>
      <c r="T1505" s="3">
        <v>0</v>
      </c>
      <c r="U1505" s="3">
        <v>2</v>
      </c>
      <c r="V1505" s="3">
        <v>1</v>
      </c>
      <c r="W1505" s="3">
        <v>0</v>
      </c>
      <c r="X1505" s="3" t="s">
        <v>147</v>
      </c>
      <c r="Y1505" s="3">
        <v>0</v>
      </c>
      <c r="Z1505" s="3">
        <v>0</v>
      </c>
      <c r="AA1505" s="3">
        <v>0</v>
      </c>
      <c r="AB1505" s="3">
        <v>0</v>
      </c>
      <c r="AC1505" s="3">
        <v>2</v>
      </c>
      <c r="AD1505" s="3">
        <v>3</v>
      </c>
      <c r="AE1505" s="3">
        <v>14</v>
      </c>
      <c r="AF1505" s="3" t="s">
        <v>0</v>
      </c>
      <c r="AG1505" s="3" t="s">
        <v>0</v>
      </c>
    </row>
    <row r="1506" spans="1:33" ht="38.25" x14ac:dyDescent="0.2">
      <c r="A1506" s="4" t="str">
        <f>HYPERLINK("http://www.patentics.cn/invokexml.do?sf=ShowPatent&amp;spn=WO2009089664&amp;sv=bf9b5fd11e07107c57a85445b2381374","WO2009089664")</f>
        <v>WO2009089664</v>
      </c>
      <c r="B1506" s="2" t="s">
        <v>6890</v>
      </c>
      <c r="C1506" s="2" t="s">
        <v>6891</v>
      </c>
      <c r="D1506" s="2" t="s">
        <v>6892</v>
      </c>
      <c r="E1506" s="2" t="s">
        <v>6892</v>
      </c>
      <c r="F1506" s="2" t="s">
        <v>6893</v>
      </c>
      <c r="G1506" s="2" t="s">
        <v>6894</v>
      </c>
      <c r="H1506" s="2" t="s">
        <v>6895</v>
      </c>
      <c r="I1506" s="2" t="s">
        <v>6896</v>
      </c>
      <c r="J1506" s="2" t="s">
        <v>1169</v>
      </c>
      <c r="K1506" s="2" t="s">
        <v>58</v>
      </c>
      <c r="L1506" s="2" t="s">
        <v>613</v>
      </c>
      <c r="M1506" s="2" t="s">
        <v>0</v>
      </c>
      <c r="N1506" s="2" t="s">
        <v>0</v>
      </c>
      <c r="O1506" s="2">
        <v>0</v>
      </c>
      <c r="P1506" s="2">
        <v>0</v>
      </c>
      <c r="Q1506" s="2" t="s">
        <v>352</v>
      </c>
      <c r="R1506" s="2" t="s">
        <v>47</v>
      </c>
      <c r="S1506" s="2">
        <v>3</v>
      </c>
      <c r="T1506" s="2">
        <v>0</v>
      </c>
      <c r="U1506" s="2">
        <v>3</v>
      </c>
      <c r="V1506" s="2">
        <v>3</v>
      </c>
      <c r="W1506" s="2">
        <v>2</v>
      </c>
      <c r="X1506" s="2" t="s">
        <v>6897</v>
      </c>
      <c r="Y1506" s="2">
        <v>0</v>
      </c>
      <c r="Z1506" s="2">
        <v>2</v>
      </c>
      <c r="AA1506" s="2">
        <v>2</v>
      </c>
      <c r="AB1506" s="2">
        <v>2</v>
      </c>
      <c r="AC1506" s="2">
        <v>6</v>
      </c>
      <c r="AD1506" s="2">
        <v>5</v>
      </c>
      <c r="AE1506" s="2" t="s">
        <v>0</v>
      </c>
      <c r="AF1506" s="2">
        <v>1</v>
      </c>
      <c r="AG1506" s="2" t="s">
        <v>0</v>
      </c>
    </row>
    <row r="1507" spans="1:33" ht="114.75" x14ac:dyDescent="0.2">
      <c r="A1507" s="5" t="str">
        <f>HYPERLINK("http://www.patentics.cn/invokexml.do?sf=ShowPatent&amp;spn=US8873454&amp;sv=a5cc1530a8f09db9a5d68f0607cc2f7b","US8873454")</f>
        <v>US8873454</v>
      </c>
      <c r="B1507" s="3" t="s">
        <v>6898</v>
      </c>
      <c r="C1507" s="3" t="s">
        <v>6899</v>
      </c>
      <c r="D1507" s="3" t="s">
        <v>52</v>
      </c>
      <c r="E1507" s="3" t="s">
        <v>52</v>
      </c>
      <c r="F1507" s="3" t="s">
        <v>6900</v>
      </c>
      <c r="G1507" s="3" t="s">
        <v>1091</v>
      </c>
      <c r="H1507" s="3" t="s">
        <v>3017</v>
      </c>
      <c r="I1507" s="3" t="s">
        <v>6901</v>
      </c>
      <c r="J1507" s="3" t="s">
        <v>489</v>
      </c>
      <c r="K1507" s="3" t="s">
        <v>70</v>
      </c>
      <c r="L1507" s="3" t="s">
        <v>1057</v>
      </c>
      <c r="M1507" s="3" t="s">
        <v>58</v>
      </c>
      <c r="N1507" s="3" t="s">
        <v>4763</v>
      </c>
      <c r="O1507" s="3">
        <v>0</v>
      </c>
      <c r="P1507" s="3">
        <v>19</v>
      </c>
      <c r="Q1507" s="3" t="s">
        <v>60</v>
      </c>
      <c r="R1507" s="3" t="s">
        <v>61</v>
      </c>
      <c r="S1507" s="3">
        <v>15</v>
      </c>
      <c r="T1507" s="3">
        <v>0</v>
      </c>
      <c r="U1507" s="3">
        <v>15</v>
      </c>
      <c r="V1507" s="3">
        <v>12</v>
      </c>
      <c r="W1507" s="3">
        <v>0</v>
      </c>
      <c r="X1507" s="3" t="s">
        <v>147</v>
      </c>
      <c r="Y1507" s="3">
        <v>0</v>
      </c>
      <c r="Z1507" s="3">
        <v>0</v>
      </c>
      <c r="AA1507" s="3">
        <v>0</v>
      </c>
      <c r="AB1507" s="3">
        <v>0</v>
      </c>
      <c r="AC1507" s="3">
        <v>10</v>
      </c>
      <c r="AD1507" s="3">
        <v>7</v>
      </c>
      <c r="AE1507" s="3">
        <v>14</v>
      </c>
      <c r="AF1507" s="3" t="s">
        <v>0</v>
      </c>
      <c r="AG1507" s="3" t="s">
        <v>49</v>
      </c>
    </row>
    <row r="1508" spans="1:33" ht="76.5" x14ac:dyDescent="0.2">
      <c r="A1508" s="4" t="str">
        <f>HYPERLINK("http://www.patentics.cn/invokexml.do?sf=ShowPatent&amp;spn=WO2009086734&amp;sv=d5076d17cd2b28485a47c41a4b0677f7","WO2009086734")</f>
        <v>WO2009086734</v>
      </c>
      <c r="B1508" s="2" t="s">
        <v>6902</v>
      </c>
      <c r="C1508" s="2" t="s">
        <v>6903</v>
      </c>
      <c r="D1508" s="2" t="s">
        <v>6904</v>
      </c>
      <c r="E1508" s="2" t="s">
        <v>6904</v>
      </c>
      <c r="F1508" s="2" t="s">
        <v>6905</v>
      </c>
      <c r="G1508" s="2" t="s">
        <v>6906</v>
      </c>
      <c r="H1508" s="2" t="s">
        <v>3481</v>
      </c>
      <c r="I1508" s="2" t="s">
        <v>3444</v>
      </c>
      <c r="J1508" s="2" t="s">
        <v>3320</v>
      </c>
      <c r="K1508" s="2" t="s">
        <v>58</v>
      </c>
      <c r="L1508" s="2" t="s">
        <v>4845</v>
      </c>
      <c r="M1508" s="2" t="s">
        <v>0</v>
      </c>
      <c r="N1508" s="2" t="s">
        <v>0</v>
      </c>
      <c r="O1508" s="2">
        <v>0</v>
      </c>
      <c r="P1508" s="2">
        <v>0</v>
      </c>
      <c r="Q1508" s="2" t="s">
        <v>352</v>
      </c>
      <c r="R1508" s="2" t="s">
        <v>47</v>
      </c>
      <c r="S1508" s="2">
        <v>5</v>
      </c>
      <c r="T1508" s="2">
        <v>2</v>
      </c>
      <c r="U1508" s="2">
        <v>3</v>
      </c>
      <c r="V1508" s="2">
        <v>4</v>
      </c>
      <c r="W1508" s="2">
        <v>2</v>
      </c>
      <c r="X1508" s="2" t="s">
        <v>3177</v>
      </c>
      <c r="Y1508" s="2">
        <v>1</v>
      </c>
      <c r="Z1508" s="2">
        <v>1</v>
      </c>
      <c r="AA1508" s="2">
        <v>2</v>
      </c>
      <c r="AB1508" s="2">
        <v>1</v>
      </c>
      <c r="AC1508" s="2">
        <v>6</v>
      </c>
      <c r="AD1508" s="2">
        <v>4</v>
      </c>
      <c r="AE1508" s="2" t="s">
        <v>0</v>
      </c>
      <c r="AF1508" s="2">
        <v>1</v>
      </c>
      <c r="AG1508" s="2" t="s">
        <v>0</v>
      </c>
    </row>
    <row r="1509" spans="1:33" ht="63.75" x14ac:dyDescent="0.2">
      <c r="A1509" s="5" t="str">
        <f>HYPERLINK("http://www.patentics.cn/invokexml.do?sf=ShowPatent&amp;spn=WO2011091445&amp;sv=5d07de478a832295dcfefeb0012efc78","WO2011091445")</f>
        <v>WO2011091445</v>
      </c>
      <c r="B1509" s="3" t="s">
        <v>6884</v>
      </c>
      <c r="C1509" s="3" t="s">
        <v>6885</v>
      </c>
      <c r="D1509" s="3" t="s">
        <v>6886</v>
      </c>
      <c r="E1509" s="3" t="s">
        <v>6887</v>
      </c>
      <c r="F1509" s="3" t="s">
        <v>6888</v>
      </c>
      <c r="G1509" s="3" t="s">
        <v>4549</v>
      </c>
      <c r="H1509" s="3" t="s">
        <v>1239</v>
      </c>
      <c r="I1509" s="3" t="s">
        <v>2069</v>
      </c>
      <c r="J1509" s="3" t="s">
        <v>6889</v>
      </c>
      <c r="K1509" s="3" t="s">
        <v>82</v>
      </c>
      <c r="L1509" s="3" t="s">
        <v>2015</v>
      </c>
      <c r="M1509" s="3" t="s">
        <v>0</v>
      </c>
      <c r="N1509" s="3" t="s">
        <v>0</v>
      </c>
      <c r="O1509" s="3">
        <v>59</v>
      </c>
      <c r="P1509" s="3">
        <v>14</v>
      </c>
      <c r="Q1509" s="3" t="s">
        <v>352</v>
      </c>
      <c r="R1509" s="3" t="s">
        <v>61</v>
      </c>
      <c r="S1509" s="3">
        <v>2</v>
      </c>
      <c r="T1509" s="3">
        <v>0</v>
      </c>
      <c r="U1509" s="3">
        <v>2</v>
      </c>
      <c r="V1509" s="3">
        <v>1</v>
      </c>
      <c r="W1509" s="3">
        <v>0</v>
      </c>
      <c r="X1509" s="3" t="s">
        <v>147</v>
      </c>
      <c r="Y1509" s="3">
        <v>0</v>
      </c>
      <c r="Z1509" s="3">
        <v>0</v>
      </c>
      <c r="AA1509" s="3">
        <v>0</v>
      </c>
      <c r="AB1509" s="3">
        <v>0</v>
      </c>
      <c r="AC1509" s="3">
        <v>2</v>
      </c>
      <c r="AD1509" s="3">
        <v>3</v>
      </c>
      <c r="AE1509" s="3">
        <v>14</v>
      </c>
      <c r="AF1509" s="3" t="s">
        <v>0</v>
      </c>
      <c r="AG1509" s="3" t="s">
        <v>0</v>
      </c>
    </row>
    <row r="1510" spans="1:33" ht="38.25" x14ac:dyDescent="0.2">
      <c r="A1510" s="4" t="str">
        <f>HYPERLINK("http://www.patentics.cn/invokexml.do?sf=ShowPatent&amp;spn=WO2008127814&amp;sv=4976ea3f32076dec7d56c95be075fa54","WO2008127814")</f>
        <v>WO2008127814</v>
      </c>
      <c r="B1510" s="2" t="s">
        <v>6907</v>
      </c>
      <c r="C1510" s="2" t="s">
        <v>6908</v>
      </c>
      <c r="D1510" s="2" t="s">
        <v>6909</v>
      </c>
      <c r="E1510" s="2" t="s">
        <v>6910</v>
      </c>
      <c r="F1510" s="2" t="s">
        <v>6911</v>
      </c>
      <c r="G1510" s="2" t="s">
        <v>882</v>
      </c>
      <c r="H1510" s="2" t="s">
        <v>4339</v>
      </c>
      <c r="I1510" s="2" t="s">
        <v>4340</v>
      </c>
      <c r="J1510" s="2" t="s">
        <v>2227</v>
      </c>
      <c r="K1510" s="2" t="s">
        <v>84</v>
      </c>
      <c r="L1510" s="2" t="s">
        <v>1922</v>
      </c>
      <c r="M1510" s="2" t="s">
        <v>0</v>
      </c>
      <c r="N1510" s="2" t="s">
        <v>0</v>
      </c>
      <c r="O1510" s="2">
        <v>18</v>
      </c>
      <c r="P1510" s="2">
        <v>14</v>
      </c>
      <c r="Q1510" s="2" t="s">
        <v>352</v>
      </c>
      <c r="R1510" s="2" t="s">
        <v>61</v>
      </c>
      <c r="S1510" s="2">
        <v>6</v>
      </c>
      <c r="T1510" s="2">
        <v>0</v>
      </c>
      <c r="U1510" s="2">
        <v>6</v>
      </c>
      <c r="V1510" s="2">
        <v>4</v>
      </c>
      <c r="W1510" s="2">
        <v>7</v>
      </c>
      <c r="X1510" s="2" t="s">
        <v>6912</v>
      </c>
      <c r="Y1510" s="2">
        <v>0</v>
      </c>
      <c r="Z1510" s="2">
        <v>7</v>
      </c>
      <c r="AA1510" s="2">
        <v>3</v>
      </c>
      <c r="AB1510" s="2">
        <v>3</v>
      </c>
      <c r="AC1510" s="2">
        <v>9</v>
      </c>
      <c r="AD1510" s="2">
        <v>6</v>
      </c>
      <c r="AE1510" s="2" t="s">
        <v>0</v>
      </c>
      <c r="AF1510" s="2">
        <v>1</v>
      </c>
      <c r="AG1510" s="2" t="s">
        <v>0</v>
      </c>
    </row>
    <row r="1511" spans="1:33" ht="76.5" x14ac:dyDescent="0.2">
      <c r="A1511" s="5" t="str">
        <f>HYPERLINK("http://www.patentics.cn/invokexml.do?sf=ShowPatent&amp;spn=US9635558&amp;sv=8925f867e9a4837586f8a2a18abf44f0","US9635558")</f>
        <v>US9635558</v>
      </c>
      <c r="B1511" s="3" t="s">
        <v>1944</v>
      </c>
      <c r="C1511" s="3" t="s">
        <v>1925</v>
      </c>
      <c r="D1511" s="3" t="s">
        <v>52</v>
      </c>
      <c r="E1511" s="3" t="s">
        <v>52</v>
      </c>
      <c r="F1511" s="3" t="s">
        <v>1945</v>
      </c>
      <c r="G1511" s="3" t="s">
        <v>1946</v>
      </c>
      <c r="H1511" s="3" t="s">
        <v>0</v>
      </c>
      <c r="I1511" s="3" t="s">
        <v>1947</v>
      </c>
      <c r="J1511" s="3" t="s">
        <v>1948</v>
      </c>
      <c r="K1511" s="3" t="s">
        <v>82</v>
      </c>
      <c r="L1511" s="3" t="s">
        <v>1949</v>
      </c>
      <c r="M1511" s="3" t="s">
        <v>82</v>
      </c>
      <c r="N1511" s="3" t="s">
        <v>1928</v>
      </c>
      <c r="O1511" s="3">
        <v>0</v>
      </c>
      <c r="P1511" s="3">
        <v>19</v>
      </c>
      <c r="Q1511" s="3" t="s">
        <v>60</v>
      </c>
      <c r="R1511" s="3" t="s">
        <v>61</v>
      </c>
      <c r="S1511" s="3">
        <v>22</v>
      </c>
      <c r="T1511" s="3">
        <v>2</v>
      </c>
      <c r="U1511" s="3">
        <v>20</v>
      </c>
      <c r="V1511" s="3">
        <v>11</v>
      </c>
      <c r="W1511" s="3">
        <v>0</v>
      </c>
      <c r="X1511" s="3" t="s">
        <v>147</v>
      </c>
      <c r="Y1511" s="3">
        <v>0</v>
      </c>
      <c r="Z1511" s="3">
        <v>0</v>
      </c>
      <c r="AA1511" s="3">
        <v>0</v>
      </c>
      <c r="AB1511" s="3">
        <v>0</v>
      </c>
      <c r="AC1511" s="3">
        <v>0</v>
      </c>
      <c r="AD1511" s="3">
        <v>0</v>
      </c>
      <c r="AE1511" s="3">
        <v>14</v>
      </c>
      <c r="AF1511" s="3" t="s">
        <v>0</v>
      </c>
      <c r="AG1511" s="3" t="s">
        <v>49</v>
      </c>
    </row>
    <row r="1512" spans="1:33" ht="51" x14ac:dyDescent="0.2">
      <c r="A1512" s="4" t="str">
        <f>HYPERLINK("http://www.patentics.cn/invokexml.do?sf=ShowPatent&amp;spn=WO2008109568&amp;sv=21824d47251e5ebc77754fc2cf510e8f","WO2008109568")</f>
        <v>WO2008109568</v>
      </c>
      <c r="B1512" s="2" t="s">
        <v>6913</v>
      </c>
      <c r="C1512" s="2" t="s">
        <v>6914</v>
      </c>
      <c r="D1512" s="2" t="s">
        <v>6915</v>
      </c>
      <c r="E1512" s="2" t="s">
        <v>6916</v>
      </c>
      <c r="F1512" s="2" t="s">
        <v>6917</v>
      </c>
      <c r="G1512" s="2" t="s">
        <v>3442</v>
      </c>
      <c r="H1512" s="2" t="s">
        <v>6918</v>
      </c>
      <c r="I1512" s="2" t="s">
        <v>1790</v>
      </c>
      <c r="J1512" s="2" t="s">
        <v>640</v>
      </c>
      <c r="K1512" s="2" t="s">
        <v>84</v>
      </c>
      <c r="L1512" s="2" t="s">
        <v>1922</v>
      </c>
      <c r="M1512" s="2" t="s">
        <v>0</v>
      </c>
      <c r="N1512" s="2" t="s">
        <v>0</v>
      </c>
      <c r="O1512" s="2">
        <v>14</v>
      </c>
      <c r="P1512" s="2">
        <v>31</v>
      </c>
      <c r="Q1512" s="2" t="s">
        <v>352</v>
      </c>
      <c r="R1512" s="2" t="s">
        <v>61</v>
      </c>
      <c r="S1512" s="2">
        <v>6</v>
      </c>
      <c r="T1512" s="2">
        <v>0</v>
      </c>
      <c r="U1512" s="2">
        <v>6</v>
      </c>
      <c r="V1512" s="2">
        <v>4</v>
      </c>
      <c r="W1512" s="2">
        <v>13</v>
      </c>
      <c r="X1512" s="2" t="s">
        <v>6919</v>
      </c>
      <c r="Y1512" s="2">
        <v>2</v>
      </c>
      <c r="Z1512" s="2">
        <v>11</v>
      </c>
      <c r="AA1512" s="2">
        <v>9</v>
      </c>
      <c r="AB1512" s="2">
        <v>4</v>
      </c>
      <c r="AC1512" s="2">
        <v>4</v>
      </c>
      <c r="AD1512" s="2">
        <v>5</v>
      </c>
      <c r="AE1512" s="2" t="s">
        <v>0</v>
      </c>
      <c r="AF1512" s="2">
        <v>1</v>
      </c>
      <c r="AG1512" s="2" t="s">
        <v>0</v>
      </c>
    </row>
    <row r="1513" spans="1:33" ht="38.25" x14ac:dyDescent="0.2">
      <c r="A1513" s="5" t="str">
        <f>HYPERLINK("http://www.patentics.cn/invokexml.do?sf=ShowPatent&amp;spn=US8452011&amp;sv=7d5ae9dad6cb17e0beae942b3b81c1da","US8452011")</f>
        <v>US8452011</v>
      </c>
      <c r="B1513" s="3" t="s">
        <v>6920</v>
      </c>
      <c r="C1513" s="3" t="s">
        <v>6921</v>
      </c>
      <c r="D1513" s="3" t="s">
        <v>52</v>
      </c>
      <c r="E1513" s="3" t="s">
        <v>52</v>
      </c>
      <c r="F1513" s="3" t="s">
        <v>6922</v>
      </c>
      <c r="G1513" s="3" t="s">
        <v>6923</v>
      </c>
      <c r="H1513" s="3" t="s">
        <v>6924</v>
      </c>
      <c r="I1513" s="3" t="s">
        <v>5879</v>
      </c>
      <c r="J1513" s="3" t="s">
        <v>4313</v>
      </c>
      <c r="K1513" s="3" t="s">
        <v>544</v>
      </c>
      <c r="L1513" s="3" t="s">
        <v>6925</v>
      </c>
      <c r="M1513" s="3" t="s">
        <v>58</v>
      </c>
      <c r="N1513" s="3" t="s">
        <v>6926</v>
      </c>
      <c r="O1513" s="3">
        <v>0</v>
      </c>
      <c r="P1513" s="3">
        <v>16</v>
      </c>
      <c r="Q1513" s="3" t="s">
        <v>60</v>
      </c>
      <c r="R1513" s="3" t="s">
        <v>61</v>
      </c>
      <c r="S1513" s="3">
        <v>10</v>
      </c>
      <c r="T1513" s="3">
        <v>1</v>
      </c>
      <c r="U1513" s="3">
        <v>9</v>
      </c>
      <c r="V1513" s="3">
        <v>7</v>
      </c>
      <c r="W1513" s="3">
        <v>2</v>
      </c>
      <c r="X1513" s="3" t="s">
        <v>74</v>
      </c>
      <c r="Y1513" s="3">
        <v>0</v>
      </c>
      <c r="Z1513" s="3">
        <v>2</v>
      </c>
      <c r="AA1513" s="3">
        <v>2</v>
      </c>
      <c r="AB1513" s="3">
        <v>1</v>
      </c>
      <c r="AC1513" s="3">
        <v>9</v>
      </c>
      <c r="AD1513" s="3">
        <v>7</v>
      </c>
      <c r="AE1513" s="3">
        <v>14</v>
      </c>
      <c r="AF1513" s="3" t="s">
        <v>0</v>
      </c>
      <c r="AG1513" s="3" t="s">
        <v>49</v>
      </c>
    </row>
    <row r="1514" spans="1:33" ht="38.25" x14ac:dyDescent="0.2">
      <c r="A1514" s="4" t="str">
        <f>HYPERLINK("http://www.patentics.cn/invokexml.do?sf=ShowPatent&amp;spn=WO2008022511&amp;sv=3015fb9623920496380534860a95f13b","WO2008022511")</f>
        <v>WO2008022511</v>
      </c>
      <c r="B1514" s="2" t="s">
        <v>6927</v>
      </c>
      <c r="C1514" s="2" t="s">
        <v>6928</v>
      </c>
      <c r="D1514" s="2" t="s">
        <v>6929</v>
      </c>
      <c r="E1514" s="2" t="s">
        <v>6929</v>
      </c>
      <c r="F1514" s="2" t="s">
        <v>6930</v>
      </c>
      <c r="G1514" s="2" t="s">
        <v>6931</v>
      </c>
      <c r="H1514" s="2" t="s">
        <v>6932</v>
      </c>
      <c r="I1514" s="2" t="s">
        <v>6933</v>
      </c>
      <c r="J1514" s="2" t="s">
        <v>3701</v>
      </c>
      <c r="K1514" s="2" t="s">
        <v>84</v>
      </c>
      <c r="L1514" s="2" t="s">
        <v>1922</v>
      </c>
      <c r="M1514" s="2" t="s">
        <v>0</v>
      </c>
      <c r="N1514" s="2" t="s">
        <v>0</v>
      </c>
      <c r="O1514" s="2">
        <v>0</v>
      </c>
      <c r="P1514" s="2">
        <v>0</v>
      </c>
      <c r="Q1514" s="2" t="s">
        <v>352</v>
      </c>
      <c r="R1514" s="2" t="s">
        <v>47</v>
      </c>
      <c r="S1514" s="2">
        <v>3</v>
      </c>
      <c r="T1514" s="2">
        <v>0</v>
      </c>
      <c r="U1514" s="2">
        <v>3</v>
      </c>
      <c r="V1514" s="2">
        <v>3</v>
      </c>
      <c r="W1514" s="2">
        <v>1</v>
      </c>
      <c r="X1514" s="2" t="s">
        <v>108</v>
      </c>
      <c r="Y1514" s="2">
        <v>0</v>
      </c>
      <c r="Z1514" s="2">
        <v>1</v>
      </c>
      <c r="AA1514" s="2">
        <v>1</v>
      </c>
      <c r="AB1514" s="2">
        <v>1</v>
      </c>
      <c r="AC1514" s="2">
        <v>2</v>
      </c>
      <c r="AD1514" s="2">
        <v>2</v>
      </c>
      <c r="AE1514" s="2" t="s">
        <v>0</v>
      </c>
      <c r="AF1514" s="2">
        <v>1</v>
      </c>
      <c r="AG1514" s="2" t="s">
        <v>0</v>
      </c>
    </row>
    <row r="1515" spans="1:33" ht="89.25" x14ac:dyDescent="0.2">
      <c r="A1515" s="5" t="str">
        <f>HYPERLINK("http://www.patentics.cn/invokexml.do?sf=ShowPatent&amp;spn=US9608780&amp;sv=b6b8ffa0c23005f24ddf06e095f9fadb","US9608780")</f>
        <v>US9608780</v>
      </c>
      <c r="B1515" s="3" t="s">
        <v>6934</v>
      </c>
      <c r="C1515" s="3" t="s">
        <v>6935</v>
      </c>
      <c r="D1515" s="3" t="s">
        <v>52</v>
      </c>
      <c r="E1515" s="3" t="s">
        <v>52</v>
      </c>
      <c r="F1515" s="3" t="s">
        <v>6936</v>
      </c>
      <c r="G1515" s="3" t="s">
        <v>3800</v>
      </c>
      <c r="H1515" s="3" t="s">
        <v>0</v>
      </c>
      <c r="I1515" s="3" t="s">
        <v>610</v>
      </c>
      <c r="J1515" s="3" t="s">
        <v>3892</v>
      </c>
      <c r="K1515" s="3" t="s">
        <v>58</v>
      </c>
      <c r="L1515" s="3" t="s">
        <v>188</v>
      </c>
      <c r="M1515" s="3" t="s">
        <v>58</v>
      </c>
      <c r="N1515" s="3" t="s">
        <v>1117</v>
      </c>
      <c r="O1515" s="3">
        <v>0</v>
      </c>
      <c r="P1515" s="3">
        <v>13</v>
      </c>
      <c r="Q1515" s="3" t="s">
        <v>60</v>
      </c>
      <c r="R1515" s="3" t="s">
        <v>61</v>
      </c>
      <c r="S1515" s="3">
        <v>64</v>
      </c>
      <c r="T1515" s="3">
        <v>13</v>
      </c>
      <c r="U1515" s="3">
        <v>51</v>
      </c>
      <c r="V1515" s="3">
        <v>22</v>
      </c>
      <c r="W1515" s="3">
        <v>0</v>
      </c>
      <c r="X1515" s="3" t="s">
        <v>147</v>
      </c>
      <c r="Y1515" s="3">
        <v>0</v>
      </c>
      <c r="Z1515" s="3">
        <v>0</v>
      </c>
      <c r="AA1515" s="3">
        <v>0</v>
      </c>
      <c r="AB1515" s="3">
        <v>0</v>
      </c>
      <c r="AC1515" s="3">
        <v>0</v>
      </c>
      <c r="AD1515" s="3">
        <v>0</v>
      </c>
      <c r="AE1515" s="3">
        <v>14</v>
      </c>
      <c r="AF1515" s="3" t="s">
        <v>0</v>
      </c>
      <c r="AG1515" s="3" t="s">
        <v>49</v>
      </c>
    </row>
    <row r="1516" spans="1:33" ht="51" x14ac:dyDescent="0.2">
      <c r="A1516" s="4" t="str">
        <f>HYPERLINK("http://www.patentics.cn/invokexml.do?sf=ShowPatent&amp;spn=WO2008003196&amp;sv=53de97eb3a5b9832da2eddfdf980dade","WO2008003196")</f>
        <v>WO2008003196</v>
      </c>
      <c r="B1516" s="2" t="s">
        <v>6937</v>
      </c>
      <c r="C1516" s="2" t="s">
        <v>6938</v>
      </c>
      <c r="D1516" s="2" t="s">
        <v>6939</v>
      </c>
      <c r="E1516" s="2" t="s">
        <v>6939</v>
      </c>
      <c r="F1516" s="2" t="s">
        <v>6940</v>
      </c>
      <c r="G1516" s="2" t="s">
        <v>6941</v>
      </c>
      <c r="H1516" s="2" t="s">
        <v>6942</v>
      </c>
      <c r="I1516" s="2" t="s">
        <v>6943</v>
      </c>
      <c r="J1516" s="2" t="s">
        <v>3486</v>
      </c>
      <c r="K1516" s="2" t="s">
        <v>84</v>
      </c>
      <c r="L1516" s="2" t="s">
        <v>310</v>
      </c>
      <c r="M1516" s="2" t="s">
        <v>0</v>
      </c>
      <c r="N1516" s="2" t="s">
        <v>0</v>
      </c>
      <c r="O1516" s="2">
        <v>0</v>
      </c>
      <c r="P1516" s="2">
        <v>0</v>
      </c>
      <c r="Q1516" s="2" t="s">
        <v>352</v>
      </c>
      <c r="R1516" s="2" t="s">
        <v>47</v>
      </c>
      <c r="S1516" s="2">
        <v>3</v>
      </c>
      <c r="T1516" s="2">
        <v>0</v>
      </c>
      <c r="U1516" s="2">
        <v>3</v>
      </c>
      <c r="V1516" s="2">
        <v>3</v>
      </c>
      <c r="W1516" s="2">
        <v>1</v>
      </c>
      <c r="X1516" s="2" t="s">
        <v>523</v>
      </c>
      <c r="Y1516" s="2">
        <v>0</v>
      </c>
      <c r="Z1516" s="2">
        <v>1</v>
      </c>
      <c r="AA1516" s="2">
        <v>1</v>
      </c>
      <c r="AB1516" s="2">
        <v>1</v>
      </c>
      <c r="AC1516" s="2">
        <v>1</v>
      </c>
      <c r="AD1516" s="2">
        <v>2</v>
      </c>
      <c r="AE1516" s="2" t="s">
        <v>0</v>
      </c>
      <c r="AF1516" s="2">
        <v>1</v>
      </c>
      <c r="AG1516" s="2" t="s">
        <v>0</v>
      </c>
    </row>
    <row r="1517" spans="1:33" ht="89.25" x14ac:dyDescent="0.2">
      <c r="A1517" s="5" t="str">
        <f>HYPERLINK("http://www.patentics.cn/invokexml.do?sf=ShowPatent&amp;spn=US9608800&amp;sv=33e6398351075b079419aa8ef4e9bbdd","US9608800")</f>
        <v>US9608800</v>
      </c>
      <c r="B1517" s="3" t="s">
        <v>6944</v>
      </c>
      <c r="C1517" s="3" t="s">
        <v>6945</v>
      </c>
      <c r="D1517" s="3" t="s">
        <v>52</v>
      </c>
      <c r="E1517" s="3" t="s">
        <v>52</v>
      </c>
      <c r="F1517" s="3" t="s">
        <v>6946</v>
      </c>
      <c r="G1517" s="3" t="s">
        <v>6947</v>
      </c>
      <c r="H1517" s="3" t="s">
        <v>0</v>
      </c>
      <c r="I1517" s="3" t="s">
        <v>134</v>
      </c>
      <c r="J1517" s="3" t="s">
        <v>3892</v>
      </c>
      <c r="K1517" s="3" t="s">
        <v>58</v>
      </c>
      <c r="L1517" s="3" t="s">
        <v>6948</v>
      </c>
      <c r="M1517" s="3" t="s">
        <v>58</v>
      </c>
      <c r="N1517" s="3" t="s">
        <v>6949</v>
      </c>
      <c r="O1517" s="3">
        <v>0</v>
      </c>
      <c r="P1517" s="3">
        <v>20</v>
      </c>
      <c r="Q1517" s="3" t="s">
        <v>60</v>
      </c>
      <c r="R1517" s="3" t="s">
        <v>61</v>
      </c>
      <c r="S1517" s="3">
        <v>9</v>
      </c>
      <c r="T1517" s="3">
        <v>0</v>
      </c>
      <c r="U1517" s="3">
        <v>9</v>
      </c>
      <c r="V1517" s="3">
        <v>6</v>
      </c>
      <c r="W1517" s="3">
        <v>0</v>
      </c>
      <c r="X1517" s="3" t="s">
        <v>147</v>
      </c>
      <c r="Y1517" s="3">
        <v>0</v>
      </c>
      <c r="Z1517" s="3">
        <v>0</v>
      </c>
      <c r="AA1517" s="3">
        <v>0</v>
      </c>
      <c r="AB1517" s="3">
        <v>0</v>
      </c>
      <c r="AC1517" s="3">
        <v>0</v>
      </c>
      <c r="AD1517" s="3">
        <v>0</v>
      </c>
      <c r="AE1517" s="3">
        <v>14</v>
      </c>
      <c r="AF1517" s="3" t="s">
        <v>0</v>
      </c>
      <c r="AG1517" s="3" t="s">
        <v>49</v>
      </c>
    </row>
    <row r="1518" spans="1:33" ht="38.25" x14ac:dyDescent="0.2">
      <c r="A1518" s="4" t="str">
        <f>HYPERLINK("http://www.patentics.cn/invokexml.do?sf=ShowPatent&amp;spn=WO2005036792&amp;sv=31ea785164527f6782c2ce723ab8a0c4","WO2005036792")</f>
        <v>WO2005036792</v>
      </c>
      <c r="B1518" s="2" t="s">
        <v>6950</v>
      </c>
      <c r="C1518" s="2" t="s">
        <v>6951</v>
      </c>
      <c r="D1518" s="2" t="s">
        <v>6952</v>
      </c>
      <c r="E1518" s="2" t="s">
        <v>6953</v>
      </c>
      <c r="F1518" s="2" t="s">
        <v>6954</v>
      </c>
      <c r="G1518" s="2" t="s">
        <v>6955</v>
      </c>
      <c r="H1518" s="2" t="s">
        <v>6956</v>
      </c>
      <c r="I1518" s="2" t="s">
        <v>6957</v>
      </c>
      <c r="J1518" s="2" t="s">
        <v>6958</v>
      </c>
      <c r="K1518" s="2" t="s">
        <v>84</v>
      </c>
      <c r="L1518" s="2" t="s">
        <v>6959</v>
      </c>
      <c r="M1518" s="2" t="s">
        <v>0</v>
      </c>
      <c r="N1518" s="2" t="s">
        <v>0</v>
      </c>
      <c r="O1518" s="2">
        <v>0</v>
      </c>
      <c r="P1518" s="2">
        <v>0</v>
      </c>
      <c r="Q1518" s="2" t="s">
        <v>352</v>
      </c>
      <c r="R1518" s="2" t="s">
        <v>47</v>
      </c>
      <c r="S1518" s="2">
        <v>4</v>
      </c>
      <c r="T1518" s="2">
        <v>0</v>
      </c>
      <c r="U1518" s="2">
        <v>4</v>
      </c>
      <c r="V1518" s="2">
        <v>2</v>
      </c>
      <c r="W1518" s="2">
        <v>1</v>
      </c>
      <c r="X1518" s="2" t="s">
        <v>580</v>
      </c>
      <c r="Y1518" s="2">
        <v>0</v>
      </c>
      <c r="Z1518" s="2">
        <v>1</v>
      </c>
      <c r="AA1518" s="2">
        <v>1</v>
      </c>
      <c r="AB1518" s="2">
        <v>1</v>
      </c>
      <c r="AC1518" s="2">
        <v>2</v>
      </c>
      <c r="AD1518" s="2">
        <v>2</v>
      </c>
      <c r="AE1518" s="2" t="s">
        <v>0</v>
      </c>
      <c r="AF1518" s="2">
        <v>1</v>
      </c>
      <c r="AG1518" s="2" t="s">
        <v>0</v>
      </c>
    </row>
    <row r="1519" spans="1:33" ht="51" x14ac:dyDescent="0.2">
      <c r="A1519" s="5" t="str">
        <f>HYPERLINK("http://www.patentics.cn/invokexml.do?sf=ShowPatent&amp;spn=CN102687469B&amp;sv=8fe92a4741ccbe6f655bd209b9f30527","CN102687469B")</f>
        <v>CN102687469B</v>
      </c>
      <c r="B1519" s="3" t="s">
        <v>6960</v>
      </c>
      <c r="C1519" s="3" t="s">
        <v>6961</v>
      </c>
      <c r="D1519" s="3" t="s">
        <v>6962</v>
      </c>
      <c r="E1519" s="3" t="s">
        <v>338</v>
      </c>
      <c r="F1519" s="3" t="s">
        <v>6963</v>
      </c>
      <c r="G1519" s="3" t="s">
        <v>6964</v>
      </c>
      <c r="H1519" s="3" t="s">
        <v>4349</v>
      </c>
      <c r="I1519" s="3" t="s">
        <v>5383</v>
      </c>
      <c r="J1519" s="3" t="s">
        <v>3963</v>
      </c>
      <c r="K1519" s="3" t="s">
        <v>58</v>
      </c>
      <c r="L1519" s="3" t="s">
        <v>2624</v>
      </c>
      <c r="M1519" s="3" t="s">
        <v>0</v>
      </c>
      <c r="N1519" s="3" t="s">
        <v>0</v>
      </c>
      <c r="O1519" s="3">
        <v>27</v>
      </c>
      <c r="P1519" s="3">
        <v>12</v>
      </c>
      <c r="Q1519" s="3" t="s">
        <v>60</v>
      </c>
      <c r="R1519" s="3" t="s">
        <v>61</v>
      </c>
      <c r="S1519" s="3">
        <v>6</v>
      </c>
      <c r="T1519" s="3">
        <v>0</v>
      </c>
      <c r="U1519" s="3">
        <v>6</v>
      </c>
      <c r="V1519" s="3">
        <v>4</v>
      </c>
      <c r="W1519" s="3">
        <v>0</v>
      </c>
      <c r="X1519" s="3" t="s">
        <v>147</v>
      </c>
      <c r="Y1519" s="3">
        <v>0</v>
      </c>
      <c r="Z1519" s="3">
        <v>0</v>
      </c>
      <c r="AA1519" s="3">
        <v>0</v>
      </c>
      <c r="AB1519" s="3">
        <v>0</v>
      </c>
      <c r="AC1519" s="3">
        <v>11</v>
      </c>
      <c r="AD1519" s="3">
        <v>7</v>
      </c>
      <c r="AE1519" s="3">
        <v>14</v>
      </c>
      <c r="AF1519" s="3" t="s">
        <v>0</v>
      </c>
      <c r="AG1519" s="3" t="s">
        <v>755</v>
      </c>
    </row>
    <row r="1520" spans="1:33" ht="25.5" x14ac:dyDescent="0.2">
      <c r="A1520" s="4" t="str">
        <f>HYPERLINK("http://www.patentics.cn/invokexml.do?sf=ShowPatent&amp;spn=EP2894928&amp;sv=f2606595759a964743d38c303318f42c","EP2894928")</f>
        <v>EP2894928</v>
      </c>
      <c r="B1520" s="2" t="s">
        <v>6965</v>
      </c>
      <c r="C1520" s="2" t="s">
        <v>6966</v>
      </c>
      <c r="D1520" s="2" t="s">
        <v>346</v>
      </c>
      <c r="E1520" s="2" t="s">
        <v>346</v>
      </c>
      <c r="F1520" s="2" t="s">
        <v>6967</v>
      </c>
      <c r="G1520" s="2" t="s">
        <v>6967</v>
      </c>
      <c r="H1520" s="2" t="s">
        <v>6968</v>
      </c>
      <c r="I1520" s="2" t="s">
        <v>2305</v>
      </c>
      <c r="J1520" s="2" t="s">
        <v>4979</v>
      </c>
      <c r="K1520" s="2" t="s">
        <v>82</v>
      </c>
      <c r="L1520" s="2" t="s">
        <v>1310</v>
      </c>
      <c r="M1520" s="2" t="s">
        <v>0</v>
      </c>
      <c r="N1520" s="2" t="s">
        <v>0</v>
      </c>
      <c r="O1520" s="2">
        <v>10</v>
      </c>
      <c r="P1520" s="2">
        <v>11</v>
      </c>
      <c r="Q1520" s="2" t="s">
        <v>352</v>
      </c>
      <c r="R1520" s="2" t="s">
        <v>47</v>
      </c>
      <c r="S1520" s="2">
        <v>0</v>
      </c>
      <c r="T1520" s="2">
        <v>0</v>
      </c>
      <c r="U1520" s="2">
        <v>0</v>
      </c>
      <c r="V1520" s="2">
        <v>0</v>
      </c>
      <c r="W1520" s="2">
        <v>1</v>
      </c>
      <c r="X1520" s="2" t="s">
        <v>933</v>
      </c>
      <c r="Y1520" s="2">
        <v>0</v>
      </c>
      <c r="Z1520" s="2">
        <v>1</v>
      </c>
      <c r="AA1520" s="2">
        <v>1</v>
      </c>
      <c r="AB1520" s="2">
        <v>1</v>
      </c>
      <c r="AC1520" s="2">
        <v>3</v>
      </c>
      <c r="AD1520" s="2">
        <v>4</v>
      </c>
      <c r="AE1520" s="2" t="s">
        <v>0</v>
      </c>
      <c r="AF1520" s="2">
        <v>1</v>
      </c>
      <c r="AG1520" s="2" t="s">
        <v>0</v>
      </c>
    </row>
    <row r="1521" spans="1:33" ht="153" x14ac:dyDescent="0.2">
      <c r="A1521" s="5" t="str">
        <f>HYPERLINK("http://www.patentics.cn/invokexml.do?sf=ShowPatent&amp;spn=WO2017027471&amp;sv=7e3bb7984b2c42875b76009352c45e87","WO2017027471")</f>
        <v>WO2017027471</v>
      </c>
      <c r="B1521" s="3" t="s">
        <v>6969</v>
      </c>
      <c r="C1521" s="3" t="s">
        <v>6970</v>
      </c>
      <c r="D1521" s="3" t="s">
        <v>52</v>
      </c>
      <c r="E1521" s="3" t="s">
        <v>52</v>
      </c>
      <c r="F1521" s="3" t="s">
        <v>6971</v>
      </c>
      <c r="G1521" s="3" t="s">
        <v>982</v>
      </c>
      <c r="H1521" s="3" t="s">
        <v>6972</v>
      </c>
      <c r="I1521" s="3" t="s">
        <v>6973</v>
      </c>
      <c r="J1521" s="3" t="s">
        <v>6974</v>
      </c>
      <c r="K1521" s="3" t="s">
        <v>82</v>
      </c>
      <c r="L1521" s="3" t="s">
        <v>1310</v>
      </c>
      <c r="M1521" s="3" t="s">
        <v>0</v>
      </c>
      <c r="N1521" s="3" t="s">
        <v>0</v>
      </c>
      <c r="O1521" s="3">
        <v>5</v>
      </c>
      <c r="P1521" s="3">
        <v>16</v>
      </c>
      <c r="Q1521" s="3" t="s">
        <v>352</v>
      </c>
      <c r="R1521" s="3" t="s">
        <v>61</v>
      </c>
      <c r="S1521" s="3">
        <v>4</v>
      </c>
      <c r="T1521" s="3">
        <v>1</v>
      </c>
      <c r="U1521" s="3">
        <v>3</v>
      </c>
      <c r="V1521" s="3">
        <v>4</v>
      </c>
      <c r="W1521" s="3">
        <v>0</v>
      </c>
      <c r="X1521" s="3" t="s">
        <v>147</v>
      </c>
      <c r="Y1521" s="3">
        <v>0</v>
      </c>
      <c r="Z1521" s="3">
        <v>0</v>
      </c>
      <c r="AA1521" s="3">
        <v>0</v>
      </c>
      <c r="AB1521" s="3">
        <v>0</v>
      </c>
      <c r="AC1521" s="3">
        <v>1</v>
      </c>
      <c r="AD1521" s="3">
        <v>2</v>
      </c>
      <c r="AE1521" s="3">
        <v>14</v>
      </c>
      <c r="AF1521" s="3" t="s">
        <v>0</v>
      </c>
      <c r="AG1521" s="3" t="s">
        <v>0</v>
      </c>
    </row>
    <row r="1522" spans="1:33" ht="63.75" x14ac:dyDescent="0.2">
      <c r="A1522" s="4" t="str">
        <f>HYPERLINK("http://www.patentics.cn/invokexml.do?sf=ShowPatent&amp;spn=EP2603027&amp;sv=a65da274222aaa1ebc0ffcffc2592eb8","EP2603027")</f>
        <v>EP2603027</v>
      </c>
      <c r="B1522" s="2" t="s">
        <v>6975</v>
      </c>
      <c r="C1522" s="2" t="s">
        <v>2706</v>
      </c>
      <c r="D1522" s="2" t="s">
        <v>346</v>
      </c>
      <c r="E1522" s="2" t="s">
        <v>346</v>
      </c>
      <c r="F1522" s="2" t="s">
        <v>6976</v>
      </c>
      <c r="G1522" s="2" t="s">
        <v>6977</v>
      </c>
      <c r="H1522" s="2" t="s">
        <v>2710</v>
      </c>
      <c r="I1522" s="2" t="s">
        <v>2711</v>
      </c>
      <c r="J1522" s="2" t="s">
        <v>6978</v>
      </c>
      <c r="K1522" s="2" t="s">
        <v>82</v>
      </c>
      <c r="L1522" s="2" t="s">
        <v>2712</v>
      </c>
      <c r="M1522" s="2" t="s">
        <v>82</v>
      </c>
      <c r="N1522" s="2" t="s">
        <v>919</v>
      </c>
      <c r="O1522" s="2">
        <v>9</v>
      </c>
      <c r="P1522" s="2">
        <v>13</v>
      </c>
      <c r="Q1522" s="2" t="s">
        <v>352</v>
      </c>
      <c r="R1522" s="2" t="s">
        <v>47</v>
      </c>
      <c r="S1522" s="2">
        <v>0</v>
      </c>
      <c r="T1522" s="2">
        <v>0</v>
      </c>
      <c r="U1522" s="2">
        <v>0</v>
      </c>
      <c r="V1522" s="2">
        <v>0</v>
      </c>
      <c r="W1522" s="2">
        <v>2</v>
      </c>
      <c r="X1522" s="2" t="s">
        <v>378</v>
      </c>
      <c r="Y1522" s="2">
        <v>0</v>
      </c>
      <c r="Z1522" s="2">
        <v>2</v>
      </c>
      <c r="AA1522" s="2">
        <v>2</v>
      </c>
      <c r="AB1522" s="2">
        <v>1</v>
      </c>
      <c r="AC1522" s="2">
        <v>4</v>
      </c>
      <c r="AD1522" s="2">
        <v>4</v>
      </c>
      <c r="AE1522" s="2" t="s">
        <v>0</v>
      </c>
      <c r="AF1522" s="2">
        <v>1</v>
      </c>
      <c r="AG1522" s="2" t="s">
        <v>0</v>
      </c>
    </row>
    <row r="1523" spans="1:33" ht="76.5" x14ac:dyDescent="0.2">
      <c r="A1523" s="5" t="str">
        <f>HYPERLINK("http://www.patentics.cn/invokexml.do?sf=ShowPatent&amp;spn=US9584297&amp;sv=d3b1c65abf623095fce88fae27f87b1d","US9584297")</f>
        <v>US9584297</v>
      </c>
      <c r="B1523" s="3" t="s">
        <v>2714</v>
      </c>
      <c r="C1523" s="3" t="s">
        <v>2715</v>
      </c>
      <c r="D1523" s="3" t="s">
        <v>52</v>
      </c>
      <c r="E1523" s="3" t="s">
        <v>52</v>
      </c>
      <c r="F1523" s="3" t="s">
        <v>2716</v>
      </c>
      <c r="G1523" s="3" t="s">
        <v>1874</v>
      </c>
      <c r="H1523" s="3" t="s">
        <v>2717</v>
      </c>
      <c r="I1523" s="3" t="s">
        <v>2690</v>
      </c>
      <c r="J1523" s="3" t="s">
        <v>2718</v>
      </c>
      <c r="K1523" s="3" t="s">
        <v>58</v>
      </c>
      <c r="L1523" s="3" t="s">
        <v>2719</v>
      </c>
      <c r="M1523" s="3" t="s">
        <v>58</v>
      </c>
      <c r="N1523" s="3" t="s">
        <v>2720</v>
      </c>
      <c r="O1523" s="3">
        <v>0</v>
      </c>
      <c r="P1523" s="3">
        <v>26</v>
      </c>
      <c r="Q1523" s="3" t="s">
        <v>60</v>
      </c>
      <c r="R1523" s="3" t="s">
        <v>61</v>
      </c>
      <c r="S1523" s="3">
        <v>35</v>
      </c>
      <c r="T1523" s="3">
        <v>3</v>
      </c>
      <c r="U1523" s="3">
        <v>32</v>
      </c>
      <c r="V1523" s="3">
        <v>20</v>
      </c>
      <c r="W1523" s="3">
        <v>0</v>
      </c>
      <c r="X1523" s="3" t="s">
        <v>147</v>
      </c>
      <c r="Y1523" s="3">
        <v>0</v>
      </c>
      <c r="Z1523" s="3">
        <v>0</v>
      </c>
      <c r="AA1523" s="3">
        <v>0</v>
      </c>
      <c r="AB1523" s="3">
        <v>0</v>
      </c>
      <c r="AC1523" s="3">
        <v>8</v>
      </c>
      <c r="AD1523" s="3">
        <v>6</v>
      </c>
      <c r="AE1523" s="3">
        <v>14</v>
      </c>
      <c r="AF1523" s="3" t="s">
        <v>0</v>
      </c>
      <c r="AG1523" s="3" t="s">
        <v>49</v>
      </c>
    </row>
    <row r="1524" spans="1:33" ht="25.5" x14ac:dyDescent="0.2">
      <c r="A1524" s="4" t="str">
        <f>HYPERLINK("http://www.patentics.cn/invokexml.do?sf=ShowPatent&amp;spn=EP2552110&amp;sv=12120fa26acc86327b82bd5e8d687153","EP2552110")</f>
        <v>EP2552110</v>
      </c>
      <c r="B1524" s="2" t="s">
        <v>6979</v>
      </c>
      <c r="C1524" s="2" t="s">
        <v>6980</v>
      </c>
      <c r="D1524" s="2" t="s">
        <v>346</v>
      </c>
      <c r="E1524" s="2" t="s">
        <v>346</v>
      </c>
      <c r="F1524" s="2" t="s">
        <v>6981</v>
      </c>
      <c r="G1524" s="2" t="s">
        <v>6981</v>
      </c>
      <c r="H1524" s="2" t="s">
        <v>3227</v>
      </c>
      <c r="I1524" s="2" t="s">
        <v>2070</v>
      </c>
      <c r="J1524" s="2" t="s">
        <v>6761</v>
      </c>
      <c r="K1524" s="2" t="s">
        <v>544</v>
      </c>
      <c r="L1524" s="2" t="s">
        <v>6047</v>
      </c>
      <c r="M1524" s="2" t="s">
        <v>544</v>
      </c>
      <c r="N1524" s="2" t="s">
        <v>6982</v>
      </c>
      <c r="O1524" s="2">
        <v>10</v>
      </c>
      <c r="P1524" s="2">
        <v>6</v>
      </c>
      <c r="Q1524" s="2" t="s">
        <v>352</v>
      </c>
      <c r="R1524" s="2" t="s">
        <v>47</v>
      </c>
      <c r="S1524" s="2">
        <v>0</v>
      </c>
      <c r="T1524" s="2">
        <v>0</v>
      </c>
      <c r="U1524" s="2">
        <v>0</v>
      </c>
      <c r="V1524" s="2">
        <v>0</v>
      </c>
      <c r="W1524" s="2">
        <v>3</v>
      </c>
      <c r="X1524" s="2" t="s">
        <v>6983</v>
      </c>
      <c r="Y1524" s="2">
        <v>0</v>
      </c>
      <c r="Z1524" s="2">
        <v>3</v>
      </c>
      <c r="AA1524" s="2">
        <v>3</v>
      </c>
      <c r="AB1524" s="2">
        <v>2</v>
      </c>
      <c r="AC1524" s="2">
        <v>5</v>
      </c>
      <c r="AD1524" s="2">
        <v>4</v>
      </c>
      <c r="AE1524" s="2" t="s">
        <v>0</v>
      </c>
      <c r="AF1524" s="2">
        <v>1</v>
      </c>
      <c r="AG1524" s="2" t="s">
        <v>0</v>
      </c>
    </row>
    <row r="1525" spans="1:33" ht="51" x14ac:dyDescent="0.2">
      <c r="A1525" s="5" t="str">
        <f>HYPERLINK("http://www.patentics.cn/invokexml.do?sf=ShowPatent&amp;spn=WO2017015032&amp;sv=fd661b7f78408201cb97ddb2ea85bb3d","WO2017015032")</f>
        <v>WO2017015032</v>
      </c>
      <c r="B1525" s="3" t="s">
        <v>6984</v>
      </c>
      <c r="C1525" s="3" t="s">
        <v>6985</v>
      </c>
      <c r="D1525" s="3" t="s">
        <v>52</v>
      </c>
      <c r="E1525" s="3" t="s">
        <v>52</v>
      </c>
      <c r="F1525" s="3" t="s">
        <v>6986</v>
      </c>
      <c r="G1525" s="3" t="s">
        <v>6987</v>
      </c>
      <c r="H1525" s="3" t="s">
        <v>212</v>
      </c>
      <c r="I1525" s="3" t="s">
        <v>6988</v>
      </c>
      <c r="J1525" s="3" t="s">
        <v>6989</v>
      </c>
      <c r="K1525" s="3" t="s">
        <v>544</v>
      </c>
      <c r="L1525" s="3" t="s">
        <v>6990</v>
      </c>
      <c r="M1525" s="3" t="s">
        <v>0</v>
      </c>
      <c r="N1525" s="3" t="s">
        <v>0</v>
      </c>
      <c r="O1525" s="3">
        <v>30</v>
      </c>
      <c r="P1525" s="3">
        <v>10</v>
      </c>
      <c r="Q1525" s="3" t="s">
        <v>352</v>
      </c>
      <c r="R1525" s="3" t="s">
        <v>61</v>
      </c>
      <c r="S1525" s="3">
        <v>5</v>
      </c>
      <c r="T1525" s="3">
        <v>0</v>
      </c>
      <c r="U1525" s="3">
        <v>5</v>
      </c>
      <c r="V1525" s="3">
        <v>4</v>
      </c>
      <c r="W1525" s="3">
        <v>0</v>
      </c>
      <c r="X1525" s="3" t="s">
        <v>147</v>
      </c>
      <c r="Y1525" s="3">
        <v>0</v>
      </c>
      <c r="Z1525" s="3">
        <v>0</v>
      </c>
      <c r="AA1525" s="3">
        <v>0</v>
      </c>
      <c r="AB1525" s="3">
        <v>0</v>
      </c>
      <c r="AC1525" s="3">
        <v>1</v>
      </c>
      <c r="AD1525" s="3">
        <v>2</v>
      </c>
      <c r="AE1525" s="3">
        <v>14</v>
      </c>
      <c r="AF1525" s="3" t="s">
        <v>0</v>
      </c>
      <c r="AG1525" s="3" t="s">
        <v>0</v>
      </c>
    </row>
    <row r="1526" spans="1:33" ht="63.75" x14ac:dyDescent="0.2">
      <c r="A1526" s="4" t="str">
        <f>HYPERLINK("http://www.patentics.cn/invokexml.do?sf=ShowPatent&amp;spn=EP2528270&amp;sv=50885a52daf16a10684c8ebac06cba7b","EP2528270")</f>
        <v>EP2528270</v>
      </c>
      <c r="B1526" s="2" t="s">
        <v>6991</v>
      </c>
      <c r="C1526" s="2" t="s">
        <v>4503</v>
      </c>
      <c r="D1526" s="2" t="s">
        <v>346</v>
      </c>
      <c r="E1526" s="2" t="s">
        <v>346</v>
      </c>
      <c r="F1526" s="2" t="s">
        <v>6992</v>
      </c>
      <c r="G1526" s="2" t="s">
        <v>6993</v>
      </c>
      <c r="H1526" s="2" t="s">
        <v>4507</v>
      </c>
      <c r="I1526" s="2" t="s">
        <v>2452</v>
      </c>
      <c r="J1526" s="2" t="s">
        <v>6994</v>
      </c>
      <c r="K1526" s="2" t="s">
        <v>58</v>
      </c>
      <c r="L1526" s="2" t="s">
        <v>752</v>
      </c>
      <c r="M1526" s="2" t="s">
        <v>58</v>
      </c>
      <c r="N1526" s="2" t="s">
        <v>6995</v>
      </c>
      <c r="O1526" s="2">
        <v>18</v>
      </c>
      <c r="P1526" s="2">
        <v>11</v>
      </c>
      <c r="Q1526" s="2" t="s">
        <v>352</v>
      </c>
      <c r="R1526" s="2" t="s">
        <v>47</v>
      </c>
      <c r="S1526" s="2">
        <v>5</v>
      </c>
      <c r="T1526" s="2">
        <v>0</v>
      </c>
      <c r="U1526" s="2">
        <v>5</v>
      </c>
      <c r="V1526" s="2">
        <v>4</v>
      </c>
      <c r="W1526" s="2">
        <v>4</v>
      </c>
      <c r="X1526" s="2" t="s">
        <v>6996</v>
      </c>
      <c r="Y1526" s="2">
        <v>0</v>
      </c>
      <c r="Z1526" s="2">
        <v>4</v>
      </c>
      <c r="AA1526" s="2">
        <v>2</v>
      </c>
      <c r="AB1526" s="2">
        <v>2</v>
      </c>
      <c r="AC1526" s="2">
        <v>4</v>
      </c>
      <c r="AD1526" s="2">
        <v>4</v>
      </c>
      <c r="AE1526" s="2" t="s">
        <v>0</v>
      </c>
      <c r="AF1526" s="2">
        <v>1</v>
      </c>
      <c r="AG1526" s="2" t="s">
        <v>0</v>
      </c>
    </row>
    <row r="1527" spans="1:33" ht="114.75" x14ac:dyDescent="0.2">
      <c r="A1527" s="5" t="str">
        <f>HYPERLINK("http://www.patentics.cn/invokexml.do?sf=ShowPatent&amp;spn=US9544802&amp;sv=f4fcc83fab561fad4ec09c33967de537","US9544802")</f>
        <v>US9544802</v>
      </c>
      <c r="B1527" s="3" t="s">
        <v>6198</v>
      </c>
      <c r="C1527" s="3" t="s">
        <v>6199</v>
      </c>
      <c r="D1527" s="3" t="s">
        <v>52</v>
      </c>
      <c r="E1527" s="3" t="s">
        <v>52</v>
      </c>
      <c r="F1527" s="3" t="s">
        <v>6200</v>
      </c>
      <c r="G1527" s="3" t="s">
        <v>6201</v>
      </c>
      <c r="H1527" s="3" t="s">
        <v>4431</v>
      </c>
      <c r="I1527" s="3" t="s">
        <v>4431</v>
      </c>
      <c r="J1527" s="3" t="s">
        <v>861</v>
      </c>
      <c r="K1527" s="3" t="s">
        <v>58</v>
      </c>
      <c r="L1527" s="3" t="s">
        <v>763</v>
      </c>
      <c r="M1527" s="3" t="s">
        <v>82</v>
      </c>
      <c r="N1527" s="3" t="s">
        <v>799</v>
      </c>
      <c r="O1527" s="3">
        <v>0</v>
      </c>
      <c r="P1527" s="3">
        <v>22</v>
      </c>
      <c r="Q1527" s="3" t="s">
        <v>60</v>
      </c>
      <c r="R1527" s="3" t="s">
        <v>61</v>
      </c>
      <c r="S1527" s="3">
        <v>13</v>
      </c>
      <c r="T1527" s="3">
        <v>3</v>
      </c>
      <c r="U1527" s="3">
        <v>10</v>
      </c>
      <c r="V1527" s="3">
        <v>9</v>
      </c>
      <c r="W1527" s="3">
        <v>0</v>
      </c>
      <c r="X1527" s="3" t="s">
        <v>147</v>
      </c>
      <c r="Y1527" s="3">
        <v>0</v>
      </c>
      <c r="Z1527" s="3">
        <v>0</v>
      </c>
      <c r="AA1527" s="3">
        <v>0</v>
      </c>
      <c r="AB1527" s="3">
        <v>0</v>
      </c>
      <c r="AC1527" s="3">
        <v>1</v>
      </c>
      <c r="AD1527" s="3">
        <v>1</v>
      </c>
      <c r="AE1527" s="3">
        <v>14</v>
      </c>
      <c r="AF1527" s="3" t="s">
        <v>0</v>
      </c>
      <c r="AG1527" s="3" t="s">
        <v>49</v>
      </c>
    </row>
    <row r="1528" spans="1:33" ht="51" x14ac:dyDescent="0.2">
      <c r="A1528" s="4" t="str">
        <f>HYPERLINK("http://www.patentics.cn/invokexml.do?sf=ShowPatent&amp;spn=EP2509380&amp;sv=e939cd064b47bff48a62e7406a46c86f","EP2509380")</f>
        <v>EP2509380</v>
      </c>
      <c r="B1528" s="2" t="s">
        <v>6997</v>
      </c>
      <c r="C1528" s="2" t="s">
        <v>6998</v>
      </c>
      <c r="D1528" s="2" t="s">
        <v>346</v>
      </c>
      <c r="E1528" s="2" t="s">
        <v>346</v>
      </c>
      <c r="F1528" s="2" t="s">
        <v>6999</v>
      </c>
      <c r="G1528" s="2" t="s">
        <v>6999</v>
      </c>
      <c r="H1528" s="2" t="s">
        <v>7000</v>
      </c>
      <c r="I1528" s="2" t="s">
        <v>4321</v>
      </c>
      <c r="J1528" s="2" t="s">
        <v>6595</v>
      </c>
      <c r="K1528" s="2" t="s">
        <v>82</v>
      </c>
      <c r="L1528" s="2" t="s">
        <v>244</v>
      </c>
      <c r="M1528" s="2" t="s">
        <v>58</v>
      </c>
      <c r="N1528" s="2" t="s">
        <v>6793</v>
      </c>
      <c r="O1528" s="2">
        <v>10</v>
      </c>
      <c r="P1528" s="2">
        <v>16</v>
      </c>
      <c r="Q1528" s="2" t="s">
        <v>352</v>
      </c>
      <c r="R1528" s="2" t="s">
        <v>47</v>
      </c>
      <c r="S1528" s="2">
        <v>0</v>
      </c>
      <c r="T1528" s="2">
        <v>0</v>
      </c>
      <c r="U1528" s="2">
        <v>0</v>
      </c>
      <c r="V1528" s="2">
        <v>0</v>
      </c>
      <c r="W1528" s="2">
        <v>2</v>
      </c>
      <c r="X1528" s="2" t="s">
        <v>2906</v>
      </c>
      <c r="Y1528" s="2">
        <v>0</v>
      </c>
      <c r="Z1528" s="2">
        <v>2</v>
      </c>
      <c r="AA1528" s="2">
        <v>2</v>
      </c>
      <c r="AB1528" s="2">
        <v>2</v>
      </c>
      <c r="AC1528" s="2">
        <v>3</v>
      </c>
      <c r="AD1528" s="2">
        <v>4</v>
      </c>
      <c r="AE1528" s="2" t="s">
        <v>0</v>
      </c>
      <c r="AF1528" s="2">
        <v>1</v>
      </c>
      <c r="AG1528" s="2" t="s">
        <v>0</v>
      </c>
    </row>
    <row r="1529" spans="1:33" ht="63.75" x14ac:dyDescent="0.2">
      <c r="A1529" s="5" t="str">
        <f>HYPERLINK("http://www.patentics.cn/invokexml.do?sf=ShowPatent&amp;spn=WO2014113138&amp;sv=ee1ad04e2b7b936da5c5f3b0a1f0f54e","WO2014113138")</f>
        <v>WO2014113138</v>
      </c>
      <c r="B1529" s="3" t="s">
        <v>7001</v>
      </c>
      <c r="C1529" s="3" t="s">
        <v>7002</v>
      </c>
      <c r="D1529" s="3" t="s">
        <v>52</v>
      </c>
      <c r="E1529" s="3" t="s">
        <v>52</v>
      </c>
      <c r="F1529" s="3" t="s">
        <v>7003</v>
      </c>
      <c r="G1529" s="3" t="s">
        <v>4607</v>
      </c>
      <c r="H1529" s="3" t="s">
        <v>7004</v>
      </c>
      <c r="I1529" s="3" t="s">
        <v>4551</v>
      </c>
      <c r="J1529" s="3" t="s">
        <v>6639</v>
      </c>
      <c r="K1529" s="3" t="s">
        <v>82</v>
      </c>
      <c r="L1529" s="3" t="s">
        <v>997</v>
      </c>
      <c r="M1529" s="3" t="s">
        <v>0</v>
      </c>
      <c r="N1529" s="3" t="s">
        <v>0</v>
      </c>
      <c r="O1529" s="3">
        <v>29</v>
      </c>
      <c r="P1529" s="3">
        <v>10</v>
      </c>
      <c r="Q1529" s="3" t="s">
        <v>352</v>
      </c>
      <c r="R1529" s="3" t="s">
        <v>61</v>
      </c>
      <c r="S1529" s="3">
        <v>2</v>
      </c>
      <c r="T1529" s="3">
        <v>0</v>
      </c>
      <c r="U1529" s="3">
        <v>2</v>
      </c>
      <c r="V1529" s="3">
        <v>2</v>
      </c>
      <c r="W1529" s="3">
        <v>0</v>
      </c>
      <c r="X1529" s="3" t="s">
        <v>147</v>
      </c>
      <c r="Y1529" s="3">
        <v>0</v>
      </c>
      <c r="Z1529" s="3">
        <v>0</v>
      </c>
      <c r="AA1529" s="3">
        <v>0</v>
      </c>
      <c r="AB1529" s="3">
        <v>0</v>
      </c>
      <c r="AC1529" s="3">
        <v>4</v>
      </c>
      <c r="AD1529" s="3">
        <v>5</v>
      </c>
      <c r="AE1529" s="3">
        <v>14</v>
      </c>
      <c r="AF1529" s="3" t="s">
        <v>0</v>
      </c>
      <c r="AG1529" s="3" t="s">
        <v>0</v>
      </c>
    </row>
    <row r="1530" spans="1:33" ht="25.5" x14ac:dyDescent="0.2">
      <c r="A1530" s="4" t="str">
        <f>HYPERLINK("http://www.patentics.cn/invokexml.do?sf=ShowPatent&amp;spn=EP2509379&amp;sv=f798c6772b8367990a3af7a58082b15a","EP2509379")</f>
        <v>EP2509379</v>
      </c>
      <c r="B1530" s="2" t="s">
        <v>7005</v>
      </c>
      <c r="C1530" s="2" t="s">
        <v>7006</v>
      </c>
      <c r="D1530" s="2" t="s">
        <v>346</v>
      </c>
      <c r="E1530" s="2" t="s">
        <v>346</v>
      </c>
      <c r="F1530" s="2" t="s">
        <v>7007</v>
      </c>
      <c r="G1530" s="2" t="s">
        <v>7007</v>
      </c>
      <c r="H1530" s="2" t="s">
        <v>7008</v>
      </c>
      <c r="I1530" s="2" t="s">
        <v>570</v>
      </c>
      <c r="J1530" s="2" t="s">
        <v>6595</v>
      </c>
      <c r="K1530" s="2" t="s">
        <v>82</v>
      </c>
      <c r="L1530" s="2" t="s">
        <v>244</v>
      </c>
      <c r="M1530" s="2" t="s">
        <v>82</v>
      </c>
      <c r="N1530" s="2" t="s">
        <v>966</v>
      </c>
      <c r="O1530" s="2">
        <v>15</v>
      </c>
      <c r="P1530" s="2">
        <v>6</v>
      </c>
      <c r="Q1530" s="2" t="s">
        <v>352</v>
      </c>
      <c r="R1530" s="2" t="s">
        <v>47</v>
      </c>
      <c r="S1530" s="2">
        <v>0</v>
      </c>
      <c r="T1530" s="2">
        <v>0</v>
      </c>
      <c r="U1530" s="2">
        <v>0</v>
      </c>
      <c r="V1530" s="2">
        <v>0</v>
      </c>
      <c r="W1530" s="2">
        <v>1</v>
      </c>
      <c r="X1530" s="2" t="s">
        <v>933</v>
      </c>
      <c r="Y1530" s="2">
        <v>0</v>
      </c>
      <c r="Z1530" s="2">
        <v>1</v>
      </c>
      <c r="AA1530" s="2">
        <v>1</v>
      </c>
      <c r="AB1530" s="2">
        <v>1</v>
      </c>
      <c r="AC1530" s="2">
        <v>4</v>
      </c>
      <c r="AD1530" s="2">
        <v>4</v>
      </c>
      <c r="AE1530" s="2" t="s">
        <v>0</v>
      </c>
      <c r="AF1530" s="2">
        <v>1</v>
      </c>
      <c r="AG1530" s="2" t="s">
        <v>0</v>
      </c>
    </row>
    <row r="1531" spans="1:33" ht="76.5" x14ac:dyDescent="0.2">
      <c r="A1531" s="5" t="str">
        <f>HYPERLINK("http://www.patentics.cn/invokexml.do?sf=ShowPatent&amp;spn=WO2014137525&amp;sv=eb25cd13e8e9c2c6f077524e16b191d4","WO2014137525")</f>
        <v>WO2014137525</v>
      </c>
      <c r="B1531" s="3" t="s">
        <v>7009</v>
      </c>
      <c r="C1531" s="3" t="s">
        <v>7010</v>
      </c>
      <c r="D1531" s="3" t="s">
        <v>52</v>
      </c>
      <c r="E1531" s="3" t="s">
        <v>52</v>
      </c>
      <c r="F1531" s="3" t="s">
        <v>7011</v>
      </c>
      <c r="G1531" s="3" t="s">
        <v>4607</v>
      </c>
      <c r="H1531" s="3" t="s">
        <v>4192</v>
      </c>
      <c r="I1531" s="3" t="s">
        <v>4779</v>
      </c>
      <c r="J1531" s="3" t="s">
        <v>7012</v>
      </c>
      <c r="K1531" s="3" t="s">
        <v>82</v>
      </c>
      <c r="L1531" s="3" t="s">
        <v>997</v>
      </c>
      <c r="M1531" s="3" t="s">
        <v>0</v>
      </c>
      <c r="N1531" s="3" t="s">
        <v>0</v>
      </c>
      <c r="O1531" s="3">
        <v>4</v>
      </c>
      <c r="P1531" s="3">
        <v>44</v>
      </c>
      <c r="Q1531" s="3" t="s">
        <v>352</v>
      </c>
      <c r="R1531" s="3" t="s">
        <v>61</v>
      </c>
      <c r="S1531" s="3">
        <v>4</v>
      </c>
      <c r="T1531" s="3">
        <v>0</v>
      </c>
      <c r="U1531" s="3">
        <v>4</v>
      </c>
      <c r="V1531" s="3">
        <v>2</v>
      </c>
      <c r="W1531" s="3">
        <v>0</v>
      </c>
      <c r="X1531" s="3" t="s">
        <v>147</v>
      </c>
      <c r="Y1531" s="3">
        <v>0</v>
      </c>
      <c r="Z1531" s="3">
        <v>0</v>
      </c>
      <c r="AA1531" s="3">
        <v>0</v>
      </c>
      <c r="AB1531" s="3">
        <v>0</v>
      </c>
      <c r="AC1531" s="3">
        <v>4</v>
      </c>
      <c r="AD1531" s="3">
        <v>5</v>
      </c>
      <c r="AE1531" s="3">
        <v>14</v>
      </c>
      <c r="AF1531" s="3" t="s">
        <v>0</v>
      </c>
      <c r="AG1531" s="3" t="s">
        <v>0</v>
      </c>
    </row>
    <row r="1532" spans="1:33" ht="63.75" x14ac:dyDescent="0.2">
      <c r="A1532" s="4" t="str">
        <f>HYPERLINK("http://www.patentics.cn/invokexml.do?sf=ShowPatent&amp;spn=EP2503837&amp;sv=0b9af27a8b6d63e2761cf0bd70620aed","EP2503837")</f>
        <v>EP2503837</v>
      </c>
      <c r="B1532" s="2" t="s">
        <v>7013</v>
      </c>
      <c r="C1532" s="2" t="s">
        <v>7014</v>
      </c>
      <c r="D1532" s="2" t="s">
        <v>346</v>
      </c>
      <c r="E1532" s="2" t="s">
        <v>346</v>
      </c>
      <c r="F1532" s="2" t="s">
        <v>7015</v>
      </c>
      <c r="G1532" s="2" t="s">
        <v>7016</v>
      </c>
      <c r="H1532" s="2" t="s">
        <v>3051</v>
      </c>
      <c r="I1532" s="2" t="s">
        <v>7017</v>
      </c>
      <c r="J1532" s="2" t="s">
        <v>7018</v>
      </c>
      <c r="K1532" s="2" t="s">
        <v>82</v>
      </c>
      <c r="L1532" s="2" t="s">
        <v>997</v>
      </c>
      <c r="M1532" s="2" t="s">
        <v>84</v>
      </c>
      <c r="N1532" s="2" t="s">
        <v>2498</v>
      </c>
      <c r="O1532" s="2">
        <v>14</v>
      </c>
      <c r="P1532" s="2">
        <v>13</v>
      </c>
      <c r="Q1532" s="2" t="s">
        <v>352</v>
      </c>
      <c r="R1532" s="2" t="s">
        <v>47</v>
      </c>
      <c r="S1532" s="2">
        <v>0</v>
      </c>
      <c r="T1532" s="2">
        <v>0</v>
      </c>
      <c r="U1532" s="2">
        <v>0</v>
      </c>
      <c r="V1532" s="2">
        <v>0</v>
      </c>
      <c r="W1532" s="2">
        <v>1</v>
      </c>
      <c r="X1532" s="2" t="s">
        <v>1206</v>
      </c>
      <c r="Y1532" s="2">
        <v>0</v>
      </c>
      <c r="Z1532" s="2">
        <v>1</v>
      </c>
      <c r="AA1532" s="2">
        <v>1</v>
      </c>
      <c r="AB1532" s="2">
        <v>1</v>
      </c>
      <c r="AC1532" s="2">
        <v>6</v>
      </c>
      <c r="AD1532" s="2">
        <v>4</v>
      </c>
      <c r="AE1532" s="2" t="s">
        <v>0</v>
      </c>
      <c r="AF1532" s="2">
        <v>1</v>
      </c>
      <c r="AG1532" s="2" t="s">
        <v>0</v>
      </c>
    </row>
    <row r="1533" spans="1:33" ht="76.5" x14ac:dyDescent="0.2">
      <c r="A1533" s="5" t="str">
        <f>HYPERLINK("http://www.patentics.cn/invokexml.do?sf=ShowPatent&amp;spn=WO2015048396&amp;sv=a7189d8b1138e6d38cc51a6a109767ca","WO2015048396")</f>
        <v>WO2015048396</v>
      </c>
      <c r="B1533" s="3" t="s">
        <v>7019</v>
      </c>
      <c r="C1533" s="3" t="s">
        <v>7020</v>
      </c>
      <c r="D1533" s="3" t="s">
        <v>52</v>
      </c>
      <c r="E1533" s="3" t="s">
        <v>52</v>
      </c>
      <c r="F1533" s="3" t="s">
        <v>7021</v>
      </c>
      <c r="G1533" s="3" t="s">
        <v>7022</v>
      </c>
      <c r="H1533" s="3" t="s">
        <v>3603</v>
      </c>
      <c r="I1533" s="3" t="s">
        <v>7023</v>
      </c>
      <c r="J1533" s="3" t="s">
        <v>7024</v>
      </c>
      <c r="K1533" s="3" t="s">
        <v>82</v>
      </c>
      <c r="L1533" s="3" t="s">
        <v>997</v>
      </c>
      <c r="M1533" s="3" t="s">
        <v>0</v>
      </c>
      <c r="N1533" s="3" t="s">
        <v>0</v>
      </c>
      <c r="O1533" s="3">
        <v>30</v>
      </c>
      <c r="P1533" s="3">
        <v>10</v>
      </c>
      <c r="Q1533" s="3" t="s">
        <v>352</v>
      </c>
      <c r="R1533" s="3" t="s">
        <v>61</v>
      </c>
      <c r="S1533" s="3">
        <v>3</v>
      </c>
      <c r="T1533" s="3">
        <v>2</v>
      </c>
      <c r="U1533" s="3">
        <v>1</v>
      </c>
      <c r="V1533" s="3">
        <v>2</v>
      </c>
      <c r="W1533" s="3">
        <v>0</v>
      </c>
      <c r="X1533" s="3" t="s">
        <v>147</v>
      </c>
      <c r="Y1533" s="3">
        <v>0</v>
      </c>
      <c r="Z1533" s="3">
        <v>0</v>
      </c>
      <c r="AA1533" s="3">
        <v>0</v>
      </c>
      <c r="AB1533" s="3">
        <v>0</v>
      </c>
      <c r="AC1533" s="3">
        <v>1</v>
      </c>
      <c r="AD1533" s="3">
        <v>2</v>
      </c>
      <c r="AE1533" s="3">
        <v>14</v>
      </c>
      <c r="AF1533" s="3" t="s">
        <v>0</v>
      </c>
      <c r="AG1533" s="3" t="s">
        <v>0</v>
      </c>
    </row>
    <row r="1534" spans="1:33" ht="25.5" x14ac:dyDescent="0.2">
      <c r="A1534" s="4" t="str">
        <f>HYPERLINK("http://www.patentics.cn/invokexml.do?sf=ShowPatent&amp;spn=EP2500822&amp;sv=f2c52e984b0520083fbe6259608a0969","EP2500822")</f>
        <v>EP2500822</v>
      </c>
      <c r="B1534" s="2" t="s">
        <v>7025</v>
      </c>
      <c r="C1534" s="2" t="s">
        <v>7026</v>
      </c>
      <c r="D1534" s="2" t="s">
        <v>346</v>
      </c>
      <c r="E1534" s="2" t="s">
        <v>346</v>
      </c>
      <c r="F1534" s="2" t="s">
        <v>7027</v>
      </c>
      <c r="G1534" s="2" t="s">
        <v>7027</v>
      </c>
      <c r="H1534" s="2" t="s">
        <v>543</v>
      </c>
      <c r="I1534" s="2" t="s">
        <v>7028</v>
      </c>
      <c r="J1534" s="2" t="s">
        <v>7029</v>
      </c>
      <c r="K1534" s="2" t="s">
        <v>555</v>
      </c>
      <c r="L1534" s="2" t="s">
        <v>7030</v>
      </c>
      <c r="M1534" s="2" t="s">
        <v>555</v>
      </c>
      <c r="N1534" s="2" t="s">
        <v>7031</v>
      </c>
      <c r="O1534" s="2">
        <v>15</v>
      </c>
      <c r="P1534" s="2">
        <v>9</v>
      </c>
      <c r="Q1534" s="2" t="s">
        <v>352</v>
      </c>
      <c r="R1534" s="2" t="s">
        <v>47</v>
      </c>
      <c r="S1534" s="2">
        <v>0</v>
      </c>
      <c r="T1534" s="2">
        <v>0</v>
      </c>
      <c r="U1534" s="2">
        <v>0</v>
      </c>
      <c r="V1534" s="2">
        <v>0</v>
      </c>
      <c r="W1534" s="2">
        <v>1</v>
      </c>
      <c r="X1534" s="2" t="s">
        <v>189</v>
      </c>
      <c r="Y1534" s="2">
        <v>0</v>
      </c>
      <c r="Z1534" s="2">
        <v>1</v>
      </c>
      <c r="AA1534" s="2">
        <v>1</v>
      </c>
      <c r="AB1534" s="2">
        <v>1</v>
      </c>
      <c r="AC1534" s="2">
        <v>6</v>
      </c>
      <c r="AD1534" s="2">
        <v>4</v>
      </c>
      <c r="AE1534" s="2" t="s">
        <v>0</v>
      </c>
      <c r="AF1534" s="2">
        <v>1</v>
      </c>
      <c r="AG1534" s="2" t="s">
        <v>0</v>
      </c>
    </row>
    <row r="1535" spans="1:33" ht="102" x14ac:dyDescent="0.2">
      <c r="A1535" s="5" t="str">
        <f>HYPERLINK("http://www.patentics.cn/invokexml.do?sf=ShowPatent&amp;spn=WO2014126697&amp;sv=838592673053e141e10c806b5d82ee3b","WO2014126697")</f>
        <v>WO2014126697</v>
      </c>
      <c r="B1535" s="3" t="s">
        <v>7032</v>
      </c>
      <c r="C1535" s="3" t="s">
        <v>7033</v>
      </c>
      <c r="D1535" s="3" t="s">
        <v>52</v>
      </c>
      <c r="E1535" s="3" t="s">
        <v>52</v>
      </c>
      <c r="F1535" s="3" t="s">
        <v>7034</v>
      </c>
      <c r="G1535" s="3" t="s">
        <v>7035</v>
      </c>
      <c r="H1535" s="3" t="s">
        <v>7036</v>
      </c>
      <c r="I1535" s="3" t="s">
        <v>7037</v>
      </c>
      <c r="J1535" s="3" t="s">
        <v>7038</v>
      </c>
      <c r="K1535" s="3" t="s">
        <v>555</v>
      </c>
      <c r="L1535" s="3" t="s">
        <v>7030</v>
      </c>
      <c r="M1535" s="3" t="s">
        <v>0</v>
      </c>
      <c r="N1535" s="3" t="s">
        <v>0</v>
      </c>
      <c r="O1535" s="3">
        <v>45</v>
      </c>
      <c r="P1535" s="3">
        <v>9</v>
      </c>
      <c r="Q1535" s="3" t="s">
        <v>352</v>
      </c>
      <c r="R1535" s="3" t="s">
        <v>61</v>
      </c>
      <c r="S1535" s="3">
        <v>5</v>
      </c>
      <c r="T1535" s="3">
        <v>0</v>
      </c>
      <c r="U1535" s="3">
        <v>5</v>
      </c>
      <c r="V1535" s="3">
        <v>4</v>
      </c>
      <c r="W1535" s="3">
        <v>0</v>
      </c>
      <c r="X1535" s="3" t="s">
        <v>147</v>
      </c>
      <c r="Y1535" s="3">
        <v>0</v>
      </c>
      <c r="Z1535" s="3">
        <v>0</v>
      </c>
      <c r="AA1535" s="3">
        <v>0</v>
      </c>
      <c r="AB1535" s="3">
        <v>0</v>
      </c>
      <c r="AC1535" s="3">
        <v>1</v>
      </c>
      <c r="AD1535" s="3">
        <v>2</v>
      </c>
      <c r="AE1535" s="3">
        <v>14</v>
      </c>
      <c r="AF1535" s="3" t="s">
        <v>0</v>
      </c>
      <c r="AG1535" s="3" t="s">
        <v>0</v>
      </c>
    </row>
    <row r="1536" spans="1:33" ht="38.25" x14ac:dyDescent="0.2">
      <c r="A1536" s="4" t="str">
        <f>HYPERLINK("http://www.patentics.cn/invokexml.do?sf=ShowPatent&amp;spn=EP2482488&amp;sv=7b99379b9cfb472285c011c1342b2dd7","EP2482488")</f>
        <v>EP2482488</v>
      </c>
      <c r="B1536" s="2" t="s">
        <v>7039</v>
      </c>
      <c r="C1536" s="2" t="s">
        <v>7040</v>
      </c>
      <c r="D1536" s="2" t="s">
        <v>346</v>
      </c>
      <c r="E1536" s="2" t="s">
        <v>346</v>
      </c>
      <c r="F1536" s="2" t="s">
        <v>7041</v>
      </c>
      <c r="G1536" s="2" t="s">
        <v>7041</v>
      </c>
      <c r="H1536" s="2" t="s">
        <v>6082</v>
      </c>
      <c r="I1536" s="2" t="s">
        <v>7042</v>
      </c>
      <c r="J1536" s="2" t="s">
        <v>4191</v>
      </c>
      <c r="K1536" s="2" t="s">
        <v>58</v>
      </c>
      <c r="L1536" s="2" t="s">
        <v>4081</v>
      </c>
      <c r="M1536" s="2" t="s">
        <v>58</v>
      </c>
      <c r="N1536" s="2" t="s">
        <v>2426</v>
      </c>
      <c r="O1536" s="2">
        <v>14</v>
      </c>
      <c r="P1536" s="2">
        <v>7</v>
      </c>
      <c r="Q1536" s="2" t="s">
        <v>352</v>
      </c>
      <c r="R1536" s="2" t="s">
        <v>47</v>
      </c>
      <c r="S1536" s="2">
        <v>0</v>
      </c>
      <c r="T1536" s="2">
        <v>0</v>
      </c>
      <c r="U1536" s="2">
        <v>0</v>
      </c>
      <c r="V1536" s="2">
        <v>0</v>
      </c>
      <c r="W1536" s="2">
        <v>3</v>
      </c>
      <c r="X1536" s="2" t="s">
        <v>7043</v>
      </c>
      <c r="Y1536" s="2">
        <v>0</v>
      </c>
      <c r="Z1536" s="2">
        <v>3</v>
      </c>
      <c r="AA1536" s="2">
        <v>3</v>
      </c>
      <c r="AB1536" s="2">
        <v>2</v>
      </c>
      <c r="AC1536" s="2">
        <v>3</v>
      </c>
      <c r="AD1536" s="2">
        <v>3</v>
      </c>
      <c r="AE1536" s="2" t="s">
        <v>0</v>
      </c>
      <c r="AF1536" s="2">
        <v>1</v>
      </c>
      <c r="AG1536" s="2" t="s">
        <v>0</v>
      </c>
    </row>
    <row r="1537" spans="1:33" ht="127.5" x14ac:dyDescent="0.2">
      <c r="A1537" s="5" t="str">
        <f>HYPERLINK("http://www.patentics.cn/invokexml.do?sf=ShowPatent&amp;spn=WO2014131009&amp;sv=9d034d2f7143ad734e28cd99f5a0c74d","WO2014131009")</f>
        <v>WO2014131009</v>
      </c>
      <c r="B1537" s="3" t="s">
        <v>7044</v>
      </c>
      <c r="C1537" s="3" t="s">
        <v>7045</v>
      </c>
      <c r="D1537" s="3" t="s">
        <v>52</v>
      </c>
      <c r="E1537" s="3" t="s">
        <v>52</v>
      </c>
      <c r="F1537" s="3" t="s">
        <v>1727</v>
      </c>
      <c r="G1537" s="3" t="s">
        <v>1728</v>
      </c>
      <c r="H1537" s="3" t="s">
        <v>1714</v>
      </c>
      <c r="I1537" s="3" t="s">
        <v>1729</v>
      </c>
      <c r="J1537" s="3" t="s">
        <v>1730</v>
      </c>
      <c r="K1537" s="3" t="s">
        <v>82</v>
      </c>
      <c r="L1537" s="3" t="s">
        <v>2425</v>
      </c>
      <c r="M1537" s="3" t="s">
        <v>0</v>
      </c>
      <c r="N1537" s="3" t="s">
        <v>0</v>
      </c>
      <c r="O1537" s="3">
        <v>30</v>
      </c>
      <c r="P1537" s="3">
        <v>12</v>
      </c>
      <c r="Q1537" s="3" t="s">
        <v>352</v>
      </c>
      <c r="R1537" s="3" t="s">
        <v>61</v>
      </c>
      <c r="S1537" s="3">
        <v>1</v>
      </c>
      <c r="T1537" s="3">
        <v>0</v>
      </c>
      <c r="U1537" s="3">
        <v>1</v>
      </c>
      <c r="V1537" s="3">
        <v>1</v>
      </c>
      <c r="W1537" s="3">
        <v>0</v>
      </c>
      <c r="X1537" s="3" t="s">
        <v>147</v>
      </c>
      <c r="Y1537" s="3">
        <v>0</v>
      </c>
      <c r="Z1537" s="3">
        <v>0</v>
      </c>
      <c r="AA1537" s="3">
        <v>0</v>
      </c>
      <c r="AB1537" s="3">
        <v>0</v>
      </c>
      <c r="AC1537" s="3">
        <v>4</v>
      </c>
      <c r="AD1537" s="3">
        <v>5</v>
      </c>
      <c r="AE1537" s="3">
        <v>14</v>
      </c>
      <c r="AF1537" s="3" t="s">
        <v>0</v>
      </c>
      <c r="AG1537" s="3" t="s">
        <v>0</v>
      </c>
    </row>
    <row r="1538" spans="1:33" ht="89.25" x14ac:dyDescent="0.2">
      <c r="A1538" s="4" t="str">
        <f>HYPERLINK("http://www.patentics.cn/invokexml.do?sf=ShowPatent&amp;spn=EP2469939&amp;sv=bda0fe3893a2386056aa8893c86a3637","EP2469939")</f>
        <v>EP2469939</v>
      </c>
      <c r="B1538" s="2" t="s">
        <v>7046</v>
      </c>
      <c r="C1538" s="2" t="s">
        <v>7047</v>
      </c>
      <c r="D1538" s="2" t="s">
        <v>346</v>
      </c>
      <c r="E1538" s="2" t="s">
        <v>346</v>
      </c>
      <c r="F1538" s="2" t="s">
        <v>7048</v>
      </c>
      <c r="G1538" s="2" t="s">
        <v>7049</v>
      </c>
      <c r="H1538" s="2" t="s">
        <v>2497</v>
      </c>
      <c r="I1538" s="2" t="s">
        <v>5675</v>
      </c>
      <c r="J1538" s="2" t="s">
        <v>4197</v>
      </c>
      <c r="K1538" s="2" t="s">
        <v>82</v>
      </c>
      <c r="L1538" s="2" t="s">
        <v>516</v>
      </c>
      <c r="M1538" s="2" t="s">
        <v>82</v>
      </c>
      <c r="N1538" s="2" t="s">
        <v>2072</v>
      </c>
      <c r="O1538" s="2">
        <v>31</v>
      </c>
      <c r="P1538" s="2">
        <v>6</v>
      </c>
      <c r="Q1538" s="2" t="s">
        <v>352</v>
      </c>
      <c r="R1538" s="2" t="s">
        <v>47</v>
      </c>
      <c r="S1538" s="2">
        <v>0</v>
      </c>
      <c r="T1538" s="2">
        <v>0</v>
      </c>
      <c r="U1538" s="2">
        <v>0</v>
      </c>
      <c r="V1538" s="2">
        <v>0</v>
      </c>
      <c r="W1538" s="2">
        <v>1</v>
      </c>
      <c r="X1538" s="2" t="s">
        <v>933</v>
      </c>
      <c r="Y1538" s="2">
        <v>0</v>
      </c>
      <c r="Z1538" s="2">
        <v>1</v>
      </c>
      <c r="AA1538" s="2">
        <v>1</v>
      </c>
      <c r="AB1538" s="2">
        <v>1</v>
      </c>
      <c r="AC1538" s="2">
        <v>9</v>
      </c>
      <c r="AD1538" s="2">
        <v>7</v>
      </c>
      <c r="AE1538" s="2" t="s">
        <v>0</v>
      </c>
      <c r="AF1538" s="2">
        <v>1</v>
      </c>
      <c r="AG1538" s="2" t="s">
        <v>0</v>
      </c>
    </row>
    <row r="1539" spans="1:33" ht="38.25" x14ac:dyDescent="0.2">
      <c r="A1539" s="5" t="str">
        <f>HYPERLINK("http://www.patentics.cn/invokexml.do?sf=ShowPatent&amp;spn=WO2014172134&amp;sv=408fc6b46d0beff0274f1519a29096db","WO2014172134")</f>
        <v>WO2014172134</v>
      </c>
      <c r="B1539" s="3" t="s">
        <v>7050</v>
      </c>
      <c r="C1539" s="3" t="s">
        <v>7051</v>
      </c>
      <c r="D1539" s="3" t="s">
        <v>52</v>
      </c>
      <c r="E1539" s="3" t="s">
        <v>52</v>
      </c>
      <c r="F1539" s="3" t="s">
        <v>7052</v>
      </c>
      <c r="G1539" s="3" t="s">
        <v>7052</v>
      </c>
      <c r="H1539" s="3" t="s">
        <v>7053</v>
      </c>
      <c r="I1539" s="3" t="s">
        <v>7054</v>
      </c>
      <c r="J1539" s="3" t="s">
        <v>7055</v>
      </c>
      <c r="K1539" s="3" t="s">
        <v>58</v>
      </c>
      <c r="L1539" s="3" t="s">
        <v>188</v>
      </c>
      <c r="M1539" s="3" t="s">
        <v>0</v>
      </c>
      <c r="N1539" s="3" t="s">
        <v>0</v>
      </c>
      <c r="O1539" s="3">
        <v>9</v>
      </c>
      <c r="P1539" s="3">
        <v>24</v>
      </c>
      <c r="Q1539" s="3" t="s">
        <v>352</v>
      </c>
      <c r="R1539" s="3" t="s">
        <v>61</v>
      </c>
      <c r="S1539" s="3">
        <v>4</v>
      </c>
      <c r="T1539" s="3">
        <v>0</v>
      </c>
      <c r="U1539" s="3">
        <v>4</v>
      </c>
      <c r="V1539" s="3">
        <v>3</v>
      </c>
      <c r="W1539" s="3">
        <v>0</v>
      </c>
      <c r="X1539" s="3" t="s">
        <v>147</v>
      </c>
      <c r="Y1539" s="3">
        <v>0</v>
      </c>
      <c r="Z1539" s="3">
        <v>0</v>
      </c>
      <c r="AA1539" s="3">
        <v>0</v>
      </c>
      <c r="AB1539" s="3">
        <v>0</v>
      </c>
      <c r="AC1539" s="3">
        <v>9</v>
      </c>
      <c r="AD1539" s="3">
        <v>5</v>
      </c>
      <c r="AE1539" s="3">
        <v>14</v>
      </c>
      <c r="AF1539" s="3" t="s">
        <v>0</v>
      </c>
      <c r="AG1539" s="3" t="s">
        <v>0</v>
      </c>
    </row>
    <row r="1540" spans="1:33" ht="89.25" x14ac:dyDescent="0.2">
      <c r="A1540" s="4" t="str">
        <f>HYPERLINK("http://www.patentics.cn/invokexml.do?sf=ShowPatent&amp;spn=EP2448347&amp;sv=e73971c3e422749a4c014573da0edbf2","EP2448347")</f>
        <v>EP2448347</v>
      </c>
      <c r="B1540" s="2" t="s">
        <v>7056</v>
      </c>
      <c r="C1540" s="2" t="s">
        <v>7057</v>
      </c>
      <c r="D1540" s="2" t="s">
        <v>346</v>
      </c>
      <c r="E1540" s="2" t="s">
        <v>346</v>
      </c>
      <c r="F1540" s="2" t="s">
        <v>7058</v>
      </c>
      <c r="G1540" s="2" t="s">
        <v>7007</v>
      </c>
      <c r="H1540" s="2" t="s">
        <v>5879</v>
      </c>
      <c r="I1540" s="2" t="s">
        <v>4998</v>
      </c>
      <c r="J1540" s="2" t="s">
        <v>4851</v>
      </c>
      <c r="K1540" s="2" t="s">
        <v>82</v>
      </c>
      <c r="L1540" s="2" t="s">
        <v>226</v>
      </c>
      <c r="M1540" s="2" t="s">
        <v>84</v>
      </c>
      <c r="N1540" s="2" t="s">
        <v>3270</v>
      </c>
      <c r="O1540" s="2">
        <v>29</v>
      </c>
      <c r="P1540" s="2">
        <v>13</v>
      </c>
      <c r="Q1540" s="2" t="s">
        <v>352</v>
      </c>
      <c r="R1540" s="2" t="s">
        <v>47</v>
      </c>
      <c r="S1540" s="2">
        <v>0</v>
      </c>
      <c r="T1540" s="2">
        <v>0</v>
      </c>
      <c r="U1540" s="2">
        <v>0</v>
      </c>
      <c r="V1540" s="2">
        <v>0</v>
      </c>
      <c r="W1540" s="2">
        <v>5</v>
      </c>
      <c r="X1540" s="2" t="s">
        <v>7059</v>
      </c>
      <c r="Y1540" s="2">
        <v>0</v>
      </c>
      <c r="Z1540" s="2">
        <v>5</v>
      </c>
      <c r="AA1540" s="2">
        <v>3</v>
      </c>
      <c r="AB1540" s="2">
        <v>3</v>
      </c>
      <c r="AC1540" s="2">
        <v>4</v>
      </c>
      <c r="AD1540" s="2">
        <v>4</v>
      </c>
      <c r="AE1540" s="2" t="s">
        <v>0</v>
      </c>
      <c r="AF1540" s="2">
        <v>1</v>
      </c>
      <c r="AG1540" s="2" t="s">
        <v>0</v>
      </c>
    </row>
    <row r="1541" spans="1:33" ht="76.5" x14ac:dyDescent="0.2">
      <c r="A1541" s="5" t="str">
        <f>HYPERLINK("http://www.patentics.cn/invokexml.do?sf=ShowPatent&amp;spn=WO2014137525&amp;sv=eb25cd13e8e9c2c6f077524e16b191d4","WO2014137525")</f>
        <v>WO2014137525</v>
      </c>
      <c r="B1541" s="3" t="s">
        <v>7009</v>
      </c>
      <c r="C1541" s="3" t="s">
        <v>7010</v>
      </c>
      <c r="D1541" s="3" t="s">
        <v>52</v>
      </c>
      <c r="E1541" s="3" t="s">
        <v>52</v>
      </c>
      <c r="F1541" s="3" t="s">
        <v>7011</v>
      </c>
      <c r="G1541" s="3" t="s">
        <v>4607</v>
      </c>
      <c r="H1541" s="3" t="s">
        <v>4192</v>
      </c>
      <c r="I1541" s="3" t="s">
        <v>4779</v>
      </c>
      <c r="J1541" s="3" t="s">
        <v>7012</v>
      </c>
      <c r="K1541" s="3" t="s">
        <v>82</v>
      </c>
      <c r="L1541" s="3" t="s">
        <v>997</v>
      </c>
      <c r="M1541" s="3" t="s">
        <v>0</v>
      </c>
      <c r="N1541" s="3" t="s">
        <v>0</v>
      </c>
      <c r="O1541" s="3">
        <v>4</v>
      </c>
      <c r="P1541" s="3">
        <v>44</v>
      </c>
      <c r="Q1541" s="3" t="s">
        <v>352</v>
      </c>
      <c r="R1541" s="3" t="s">
        <v>61</v>
      </c>
      <c r="S1541" s="3">
        <v>4</v>
      </c>
      <c r="T1541" s="3">
        <v>0</v>
      </c>
      <c r="U1541" s="3">
        <v>4</v>
      </c>
      <c r="V1541" s="3">
        <v>2</v>
      </c>
      <c r="W1541" s="3">
        <v>0</v>
      </c>
      <c r="X1541" s="3" t="s">
        <v>147</v>
      </c>
      <c r="Y1541" s="3">
        <v>0</v>
      </c>
      <c r="Z1541" s="3">
        <v>0</v>
      </c>
      <c r="AA1541" s="3">
        <v>0</v>
      </c>
      <c r="AB1541" s="3">
        <v>0</v>
      </c>
      <c r="AC1541" s="3">
        <v>4</v>
      </c>
      <c r="AD1541" s="3">
        <v>5</v>
      </c>
      <c r="AE1541" s="3">
        <v>14</v>
      </c>
      <c r="AF1541" s="3" t="s">
        <v>0</v>
      </c>
      <c r="AG1541" s="3" t="s">
        <v>0</v>
      </c>
    </row>
    <row r="1542" spans="1:33" ht="89.25" x14ac:dyDescent="0.2">
      <c r="A1542" s="4" t="str">
        <f>HYPERLINK("http://www.patentics.cn/invokexml.do?sf=ShowPatent&amp;spn=EP2439975&amp;sv=6ac8101dd788d632e68117d3ddd7b8ab","EP2439975")</f>
        <v>EP2439975</v>
      </c>
      <c r="B1542" s="2" t="s">
        <v>7060</v>
      </c>
      <c r="C1542" s="2" t="s">
        <v>6371</v>
      </c>
      <c r="D1542" s="2" t="s">
        <v>346</v>
      </c>
      <c r="E1542" s="2" t="s">
        <v>346</v>
      </c>
      <c r="F1542" s="2" t="s">
        <v>7061</v>
      </c>
      <c r="G1542" s="2" t="s">
        <v>7062</v>
      </c>
      <c r="H1542" s="2" t="s">
        <v>2335</v>
      </c>
      <c r="I1542" s="2" t="s">
        <v>6374</v>
      </c>
      <c r="J1542" s="2" t="s">
        <v>4608</v>
      </c>
      <c r="K1542" s="2" t="s">
        <v>82</v>
      </c>
      <c r="L1542" s="2" t="s">
        <v>806</v>
      </c>
      <c r="M1542" s="2" t="s">
        <v>82</v>
      </c>
      <c r="N1542" s="2" t="s">
        <v>4201</v>
      </c>
      <c r="O1542" s="2">
        <v>16</v>
      </c>
      <c r="P1542" s="2">
        <v>13</v>
      </c>
      <c r="Q1542" s="2" t="s">
        <v>352</v>
      </c>
      <c r="R1542" s="2" t="s">
        <v>47</v>
      </c>
      <c r="S1542" s="2">
        <v>0</v>
      </c>
      <c r="T1542" s="2">
        <v>0</v>
      </c>
      <c r="U1542" s="2">
        <v>0</v>
      </c>
      <c r="V1542" s="2">
        <v>0</v>
      </c>
      <c r="W1542" s="2">
        <v>1</v>
      </c>
      <c r="X1542" s="2" t="s">
        <v>5030</v>
      </c>
      <c r="Y1542" s="2">
        <v>0</v>
      </c>
      <c r="Z1542" s="2">
        <v>1</v>
      </c>
      <c r="AA1542" s="2">
        <v>1</v>
      </c>
      <c r="AB1542" s="2">
        <v>1</v>
      </c>
      <c r="AC1542" s="2">
        <v>9</v>
      </c>
      <c r="AD1542" s="2">
        <v>7</v>
      </c>
      <c r="AE1542" s="2" t="s">
        <v>0</v>
      </c>
      <c r="AF1542" s="2">
        <v>1</v>
      </c>
      <c r="AG1542" s="2" t="s">
        <v>0</v>
      </c>
    </row>
    <row r="1543" spans="1:33" ht="76.5" x14ac:dyDescent="0.2">
      <c r="A1543" s="5" t="str">
        <f>HYPERLINK("http://www.patentics.cn/invokexml.do?sf=ShowPatent&amp;spn=WO2014022319&amp;sv=3c71f8999536a39989f86a9d7c5415a0","WO2014022319")</f>
        <v>WO2014022319</v>
      </c>
      <c r="B1543" s="3" t="s">
        <v>7063</v>
      </c>
      <c r="C1543" s="3" t="s">
        <v>7064</v>
      </c>
      <c r="D1543" s="3" t="s">
        <v>52</v>
      </c>
      <c r="E1543" s="3" t="s">
        <v>52</v>
      </c>
      <c r="F1543" s="3" t="s">
        <v>7065</v>
      </c>
      <c r="G1543" s="3" t="s">
        <v>7066</v>
      </c>
      <c r="H1543" s="3" t="s">
        <v>1528</v>
      </c>
      <c r="I1543" s="3" t="s">
        <v>4657</v>
      </c>
      <c r="J1543" s="3" t="s">
        <v>4662</v>
      </c>
      <c r="K1543" s="3" t="s">
        <v>82</v>
      </c>
      <c r="L1543" s="3" t="s">
        <v>2215</v>
      </c>
      <c r="M1543" s="3" t="s">
        <v>0</v>
      </c>
      <c r="N1543" s="3" t="s">
        <v>0</v>
      </c>
      <c r="O1543" s="3">
        <v>59</v>
      </c>
      <c r="P1543" s="3">
        <v>13</v>
      </c>
      <c r="Q1543" s="3" t="s">
        <v>352</v>
      </c>
      <c r="R1543" s="3" t="s">
        <v>61</v>
      </c>
      <c r="S1543" s="3">
        <v>2</v>
      </c>
      <c r="T1543" s="3">
        <v>0</v>
      </c>
      <c r="U1543" s="3">
        <v>2</v>
      </c>
      <c r="V1543" s="3">
        <v>2</v>
      </c>
      <c r="W1543" s="3">
        <v>6</v>
      </c>
      <c r="X1543" s="3" t="s">
        <v>147</v>
      </c>
      <c r="Y1543" s="3">
        <v>0</v>
      </c>
      <c r="Z1543" s="3">
        <v>6</v>
      </c>
      <c r="AA1543" s="3">
        <v>0</v>
      </c>
      <c r="AB1543" s="3">
        <v>1</v>
      </c>
      <c r="AC1543" s="3">
        <v>4</v>
      </c>
      <c r="AD1543" s="3">
        <v>5</v>
      </c>
      <c r="AE1543" s="3">
        <v>14</v>
      </c>
      <c r="AF1543" s="3" t="s">
        <v>0</v>
      </c>
      <c r="AG1543" s="3" t="s">
        <v>0</v>
      </c>
    </row>
    <row r="1544" spans="1:33" ht="25.5" x14ac:dyDescent="0.2">
      <c r="A1544" s="4" t="str">
        <f>HYPERLINK("http://www.patentics.cn/invokexml.do?sf=ShowPatent&amp;spn=EP2434680&amp;sv=5b7317cf607913763b7ea45598aab808","EP2434680")</f>
        <v>EP2434680</v>
      </c>
      <c r="B1544" s="2" t="s">
        <v>7067</v>
      </c>
      <c r="C1544" s="2" t="s">
        <v>7068</v>
      </c>
      <c r="D1544" s="2" t="s">
        <v>346</v>
      </c>
      <c r="E1544" s="2" t="s">
        <v>346</v>
      </c>
      <c r="F1544" s="2" t="s">
        <v>7069</v>
      </c>
      <c r="G1544" s="2" t="s">
        <v>7069</v>
      </c>
      <c r="H1544" s="2" t="s">
        <v>7070</v>
      </c>
      <c r="I1544" s="2" t="s">
        <v>7071</v>
      </c>
      <c r="J1544" s="2" t="s">
        <v>7072</v>
      </c>
      <c r="K1544" s="2" t="s">
        <v>58</v>
      </c>
      <c r="L1544" s="2" t="s">
        <v>613</v>
      </c>
      <c r="M1544" s="2" t="s">
        <v>58</v>
      </c>
      <c r="N1544" s="2" t="s">
        <v>451</v>
      </c>
      <c r="O1544" s="2">
        <v>11</v>
      </c>
      <c r="P1544" s="2">
        <v>21</v>
      </c>
      <c r="Q1544" s="2" t="s">
        <v>352</v>
      </c>
      <c r="R1544" s="2" t="s">
        <v>47</v>
      </c>
      <c r="S1544" s="2">
        <v>0</v>
      </c>
      <c r="T1544" s="2">
        <v>0</v>
      </c>
      <c r="U1544" s="2">
        <v>0</v>
      </c>
      <c r="V1544" s="2">
        <v>0</v>
      </c>
      <c r="W1544" s="2">
        <v>1</v>
      </c>
      <c r="X1544" s="2" t="s">
        <v>580</v>
      </c>
      <c r="Y1544" s="2">
        <v>0</v>
      </c>
      <c r="Z1544" s="2">
        <v>1</v>
      </c>
      <c r="AA1544" s="2">
        <v>1</v>
      </c>
      <c r="AB1544" s="2">
        <v>1</v>
      </c>
      <c r="AC1544" s="2">
        <v>5</v>
      </c>
      <c r="AD1544" s="2">
        <v>4</v>
      </c>
      <c r="AE1544" s="2" t="s">
        <v>0</v>
      </c>
      <c r="AF1544" s="2">
        <v>1</v>
      </c>
      <c r="AG1544" s="2" t="s">
        <v>0</v>
      </c>
    </row>
    <row r="1545" spans="1:33" ht="51" x14ac:dyDescent="0.2">
      <c r="A1545" s="5" t="str">
        <f>HYPERLINK("http://www.patentics.cn/invokexml.do?sf=ShowPatent&amp;spn=US9270422&amp;sv=2dd4b6e8530615f3faf8f914e7c7aa65","US9270422")</f>
        <v>US9270422</v>
      </c>
      <c r="B1545" s="3" t="s">
        <v>7073</v>
      </c>
      <c r="C1545" s="3" t="s">
        <v>7074</v>
      </c>
      <c r="D1545" s="3" t="s">
        <v>52</v>
      </c>
      <c r="E1545" s="3" t="s">
        <v>52</v>
      </c>
      <c r="F1545" s="3" t="s">
        <v>4441</v>
      </c>
      <c r="G1545" s="3" t="s">
        <v>3572</v>
      </c>
      <c r="H1545" s="3" t="s">
        <v>6492</v>
      </c>
      <c r="I1545" s="3" t="s">
        <v>6492</v>
      </c>
      <c r="J1545" s="3" t="s">
        <v>669</v>
      </c>
      <c r="K1545" s="3" t="s">
        <v>58</v>
      </c>
      <c r="L1545" s="3" t="s">
        <v>1980</v>
      </c>
      <c r="M1545" s="3" t="s">
        <v>58</v>
      </c>
      <c r="N1545" s="3" t="s">
        <v>4181</v>
      </c>
      <c r="O1545" s="3">
        <v>0</v>
      </c>
      <c r="P1545" s="3">
        <v>18</v>
      </c>
      <c r="Q1545" s="3" t="s">
        <v>60</v>
      </c>
      <c r="R1545" s="3" t="s">
        <v>61</v>
      </c>
      <c r="S1545" s="3">
        <v>6</v>
      </c>
      <c r="T1545" s="3">
        <v>1</v>
      </c>
      <c r="U1545" s="3">
        <v>5</v>
      </c>
      <c r="V1545" s="3">
        <v>4</v>
      </c>
      <c r="W1545" s="3">
        <v>0</v>
      </c>
      <c r="X1545" s="3" t="s">
        <v>147</v>
      </c>
      <c r="Y1545" s="3">
        <v>0</v>
      </c>
      <c r="Z1545" s="3">
        <v>0</v>
      </c>
      <c r="AA1545" s="3">
        <v>0</v>
      </c>
      <c r="AB1545" s="3">
        <v>0</v>
      </c>
      <c r="AC1545" s="3">
        <v>2</v>
      </c>
      <c r="AD1545" s="3">
        <v>2</v>
      </c>
      <c r="AE1545" s="3">
        <v>14</v>
      </c>
      <c r="AF1545" s="3" t="s">
        <v>0</v>
      </c>
      <c r="AG1545" s="3" t="s">
        <v>49</v>
      </c>
    </row>
    <row r="1546" spans="1:33" ht="89.25" x14ac:dyDescent="0.2">
      <c r="A1546" s="4" t="str">
        <f>HYPERLINK("http://www.patentics.cn/invokexml.do?sf=ShowPatent&amp;spn=EP2426831&amp;sv=11913f7417aa5f7243ee40e83ee7a54d","EP2426831")</f>
        <v>EP2426831</v>
      </c>
      <c r="B1546" s="2" t="s">
        <v>7075</v>
      </c>
      <c r="C1546" s="2" t="s">
        <v>7076</v>
      </c>
      <c r="D1546" s="2" t="s">
        <v>346</v>
      </c>
      <c r="E1546" s="2" t="s">
        <v>346</v>
      </c>
      <c r="F1546" s="2" t="s">
        <v>7077</v>
      </c>
      <c r="G1546" s="2" t="s">
        <v>7078</v>
      </c>
      <c r="H1546" s="2" t="s">
        <v>2865</v>
      </c>
      <c r="I1546" s="2" t="s">
        <v>3223</v>
      </c>
      <c r="J1546" s="2" t="s">
        <v>7079</v>
      </c>
      <c r="K1546" s="2" t="s">
        <v>84</v>
      </c>
      <c r="L1546" s="2" t="s">
        <v>343</v>
      </c>
      <c r="M1546" s="2" t="s">
        <v>84</v>
      </c>
      <c r="N1546" s="2" t="s">
        <v>7080</v>
      </c>
      <c r="O1546" s="2">
        <v>16</v>
      </c>
      <c r="P1546" s="2">
        <v>11</v>
      </c>
      <c r="Q1546" s="2" t="s">
        <v>352</v>
      </c>
      <c r="R1546" s="2" t="s">
        <v>47</v>
      </c>
      <c r="S1546" s="2">
        <v>0</v>
      </c>
      <c r="T1546" s="2">
        <v>0</v>
      </c>
      <c r="U1546" s="2">
        <v>0</v>
      </c>
      <c r="V1546" s="2">
        <v>0</v>
      </c>
      <c r="W1546" s="2">
        <v>5</v>
      </c>
      <c r="X1546" s="2" t="s">
        <v>3613</v>
      </c>
      <c r="Y1546" s="2">
        <v>0</v>
      </c>
      <c r="Z1546" s="2">
        <v>5</v>
      </c>
      <c r="AA1546" s="2">
        <v>5</v>
      </c>
      <c r="AB1546" s="2">
        <v>2</v>
      </c>
      <c r="AC1546" s="2">
        <v>3</v>
      </c>
      <c r="AD1546" s="2">
        <v>3</v>
      </c>
      <c r="AE1546" s="2" t="s">
        <v>0</v>
      </c>
      <c r="AF1546" s="2">
        <v>1</v>
      </c>
      <c r="AG1546" s="2" t="s">
        <v>0</v>
      </c>
    </row>
    <row r="1547" spans="1:33" ht="51" x14ac:dyDescent="0.2">
      <c r="A1547" s="5" t="str">
        <f>HYPERLINK("http://www.patentics.cn/invokexml.do?sf=ShowPatent&amp;spn=US9148879&amp;sv=7f3ead8d3b75d47a94a21a9c725286ac","US9148879")</f>
        <v>US9148879</v>
      </c>
      <c r="B1547" s="3" t="s">
        <v>7081</v>
      </c>
      <c r="C1547" s="3" t="s">
        <v>7082</v>
      </c>
      <c r="D1547" s="3" t="s">
        <v>52</v>
      </c>
      <c r="E1547" s="3" t="s">
        <v>52</v>
      </c>
      <c r="F1547" s="3" t="s">
        <v>7083</v>
      </c>
      <c r="G1547" s="3" t="s">
        <v>6380</v>
      </c>
      <c r="H1547" s="3" t="s">
        <v>569</v>
      </c>
      <c r="I1547" s="3" t="s">
        <v>7084</v>
      </c>
      <c r="J1547" s="3" t="s">
        <v>248</v>
      </c>
      <c r="K1547" s="3" t="s">
        <v>82</v>
      </c>
      <c r="L1547" s="3" t="s">
        <v>244</v>
      </c>
      <c r="M1547" s="3" t="s">
        <v>82</v>
      </c>
      <c r="N1547" s="3" t="s">
        <v>1185</v>
      </c>
      <c r="O1547" s="3">
        <v>0</v>
      </c>
      <c r="P1547" s="3">
        <v>11</v>
      </c>
      <c r="Q1547" s="3" t="s">
        <v>60</v>
      </c>
      <c r="R1547" s="3" t="s">
        <v>47</v>
      </c>
      <c r="S1547" s="3">
        <v>28</v>
      </c>
      <c r="T1547" s="3">
        <v>1</v>
      </c>
      <c r="U1547" s="3">
        <v>27</v>
      </c>
      <c r="V1547" s="3">
        <v>10</v>
      </c>
      <c r="W1547" s="3">
        <v>8</v>
      </c>
      <c r="X1547" s="3" t="s">
        <v>147</v>
      </c>
      <c r="Y1547" s="3">
        <v>0</v>
      </c>
      <c r="Z1547" s="3">
        <v>8</v>
      </c>
      <c r="AA1547" s="3">
        <v>0</v>
      </c>
      <c r="AB1547" s="3">
        <v>1</v>
      </c>
      <c r="AC1547" s="3">
        <v>11</v>
      </c>
      <c r="AD1547" s="3">
        <v>4</v>
      </c>
      <c r="AE1547" s="3">
        <v>14</v>
      </c>
      <c r="AF1547" s="3" t="s">
        <v>0</v>
      </c>
      <c r="AG1547" s="3" t="s">
        <v>49</v>
      </c>
    </row>
    <row r="1548" spans="1:33" ht="51" x14ac:dyDescent="0.2">
      <c r="A1548" s="4" t="str">
        <f>HYPERLINK("http://www.patentics.cn/invokexml.do?sf=ShowPatent&amp;spn=EP2410797&amp;sv=1d216d737e79264b77dc3daac6a7ccd2","EP2410797")</f>
        <v>EP2410797</v>
      </c>
      <c r="B1548" s="2" t="s">
        <v>7085</v>
      </c>
      <c r="C1548" s="2" t="s">
        <v>4611</v>
      </c>
      <c r="D1548" s="2" t="s">
        <v>346</v>
      </c>
      <c r="E1548" s="2" t="s">
        <v>346</v>
      </c>
      <c r="F1548" s="2" t="s">
        <v>7086</v>
      </c>
      <c r="G1548" s="2" t="s">
        <v>7087</v>
      </c>
      <c r="H1548" s="2" t="s">
        <v>4615</v>
      </c>
      <c r="I1548" s="2" t="s">
        <v>3392</v>
      </c>
      <c r="J1548" s="2" t="s">
        <v>3707</v>
      </c>
      <c r="K1548" s="2" t="s">
        <v>82</v>
      </c>
      <c r="L1548" s="2" t="s">
        <v>2222</v>
      </c>
      <c r="M1548" s="2" t="s">
        <v>82</v>
      </c>
      <c r="N1548" s="2" t="s">
        <v>2190</v>
      </c>
      <c r="O1548" s="2">
        <v>15</v>
      </c>
      <c r="P1548" s="2">
        <v>9</v>
      </c>
      <c r="Q1548" s="2" t="s">
        <v>352</v>
      </c>
      <c r="R1548" s="2" t="s">
        <v>47</v>
      </c>
      <c r="S1548" s="2">
        <v>0</v>
      </c>
      <c r="T1548" s="2">
        <v>0</v>
      </c>
      <c r="U1548" s="2">
        <v>0</v>
      </c>
      <c r="V1548" s="2">
        <v>0</v>
      </c>
      <c r="W1548" s="2">
        <v>1</v>
      </c>
      <c r="X1548" s="2" t="s">
        <v>1061</v>
      </c>
      <c r="Y1548" s="2">
        <v>0</v>
      </c>
      <c r="Z1548" s="2">
        <v>1</v>
      </c>
      <c r="AA1548" s="2">
        <v>1</v>
      </c>
      <c r="AB1548" s="2">
        <v>1</v>
      </c>
      <c r="AC1548" s="2">
        <v>6</v>
      </c>
      <c r="AD1548" s="2">
        <v>4</v>
      </c>
      <c r="AE1548" s="2" t="s">
        <v>0</v>
      </c>
      <c r="AF1548" s="2">
        <v>1</v>
      </c>
      <c r="AG1548" s="2" t="s">
        <v>0</v>
      </c>
    </row>
    <row r="1549" spans="1:33" ht="76.5" x14ac:dyDescent="0.2">
      <c r="A1549" s="5" t="str">
        <f>HYPERLINK("http://www.patentics.cn/invokexml.do?sf=ShowPatent&amp;spn=US8948157&amp;sv=0fd111df96ddfd446f92eec8c1b14fbe","US8948157")</f>
        <v>US8948157</v>
      </c>
      <c r="B1549" s="3" t="s">
        <v>4618</v>
      </c>
      <c r="C1549" s="3" t="s">
        <v>4619</v>
      </c>
      <c r="D1549" s="3" t="s">
        <v>52</v>
      </c>
      <c r="E1549" s="3" t="s">
        <v>52</v>
      </c>
      <c r="F1549" s="3" t="s">
        <v>4620</v>
      </c>
      <c r="G1549" s="3" t="s">
        <v>4621</v>
      </c>
      <c r="H1549" s="3" t="s">
        <v>4622</v>
      </c>
      <c r="I1549" s="3" t="s">
        <v>4623</v>
      </c>
      <c r="J1549" s="3" t="s">
        <v>2504</v>
      </c>
      <c r="K1549" s="3" t="s">
        <v>70</v>
      </c>
      <c r="L1549" s="3" t="s">
        <v>1082</v>
      </c>
      <c r="M1549" s="3" t="s">
        <v>70</v>
      </c>
      <c r="N1549" s="3" t="s">
        <v>4624</v>
      </c>
      <c r="O1549" s="3">
        <v>0</v>
      </c>
      <c r="P1549" s="3">
        <v>13</v>
      </c>
      <c r="Q1549" s="3" t="s">
        <v>60</v>
      </c>
      <c r="R1549" s="3" t="s">
        <v>61</v>
      </c>
      <c r="S1549" s="3">
        <v>11</v>
      </c>
      <c r="T1549" s="3">
        <v>4</v>
      </c>
      <c r="U1549" s="3">
        <v>7</v>
      </c>
      <c r="V1549" s="3">
        <v>5</v>
      </c>
      <c r="W1549" s="3">
        <v>0</v>
      </c>
      <c r="X1549" s="3" t="s">
        <v>147</v>
      </c>
      <c r="Y1549" s="3">
        <v>0</v>
      </c>
      <c r="Z1549" s="3">
        <v>0</v>
      </c>
      <c r="AA1549" s="3">
        <v>0</v>
      </c>
      <c r="AB1549" s="3">
        <v>0</v>
      </c>
      <c r="AC1549" s="3">
        <v>9</v>
      </c>
      <c r="AD1549" s="3">
        <v>6</v>
      </c>
      <c r="AE1549" s="3">
        <v>14</v>
      </c>
      <c r="AF1549" s="3" t="s">
        <v>0</v>
      </c>
      <c r="AG1549" s="3" t="s">
        <v>49</v>
      </c>
    </row>
    <row r="1550" spans="1:33" ht="38.25" x14ac:dyDescent="0.2">
      <c r="A1550" s="4" t="str">
        <f>HYPERLINK("http://www.patentics.cn/invokexml.do?sf=ShowPatent&amp;spn=EP2320693&amp;sv=2b9bc47006d2f6dfea8aa7e995403ea3","EP2320693")</f>
        <v>EP2320693</v>
      </c>
      <c r="B1550" s="2" t="s">
        <v>7088</v>
      </c>
      <c r="C1550" s="2" t="s">
        <v>7089</v>
      </c>
      <c r="D1550" s="2" t="s">
        <v>346</v>
      </c>
      <c r="E1550" s="2" t="s">
        <v>346</v>
      </c>
      <c r="F1550" s="2" t="s">
        <v>7090</v>
      </c>
      <c r="G1550" s="2" t="s">
        <v>7091</v>
      </c>
      <c r="H1550" s="2" t="s">
        <v>884</v>
      </c>
      <c r="I1550" s="2" t="s">
        <v>5197</v>
      </c>
      <c r="J1550" s="2" t="s">
        <v>4946</v>
      </c>
      <c r="K1550" s="2" t="s">
        <v>82</v>
      </c>
      <c r="L1550" s="2" t="s">
        <v>6820</v>
      </c>
      <c r="M1550" s="2" t="s">
        <v>82</v>
      </c>
      <c r="N1550" s="2" t="s">
        <v>958</v>
      </c>
      <c r="O1550" s="2">
        <v>12</v>
      </c>
      <c r="P1550" s="2">
        <v>12</v>
      </c>
      <c r="Q1550" s="2" t="s">
        <v>352</v>
      </c>
      <c r="R1550" s="2" t="s">
        <v>47</v>
      </c>
      <c r="S1550" s="2">
        <v>0</v>
      </c>
      <c r="T1550" s="2">
        <v>0</v>
      </c>
      <c r="U1550" s="2">
        <v>0</v>
      </c>
      <c r="V1550" s="2">
        <v>0</v>
      </c>
      <c r="W1550" s="2">
        <v>5</v>
      </c>
      <c r="X1550" s="2" t="s">
        <v>920</v>
      </c>
      <c r="Y1550" s="2">
        <v>0</v>
      </c>
      <c r="Z1550" s="2">
        <v>5</v>
      </c>
      <c r="AA1550" s="2">
        <v>3</v>
      </c>
      <c r="AB1550" s="2">
        <v>2</v>
      </c>
      <c r="AC1550" s="2">
        <v>11</v>
      </c>
      <c r="AD1550" s="2">
        <v>7</v>
      </c>
      <c r="AE1550" s="2" t="s">
        <v>0</v>
      </c>
      <c r="AF1550" s="2">
        <v>1</v>
      </c>
      <c r="AG1550" s="2" t="s">
        <v>0</v>
      </c>
    </row>
    <row r="1551" spans="1:33" ht="51" x14ac:dyDescent="0.2">
      <c r="A1551" s="5" t="str">
        <f>HYPERLINK("http://www.patentics.cn/invokexml.do?sf=ShowPatent&amp;spn=US9332446&amp;sv=64e27a469f2af22f5dbc4e046a086bc5","US9332446")</f>
        <v>US9332446</v>
      </c>
      <c r="B1551" s="3" t="s">
        <v>7092</v>
      </c>
      <c r="C1551" s="3" t="s">
        <v>7093</v>
      </c>
      <c r="D1551" s="3" t="s">
        <v>52</v>
      </c>
      <c r="E1551" s="3" t="s">
        <v>52</v>
      </c>
      <c r="F1551" s="3" t="s">
        <v>7094</v>
      </c>
      <c r="G1551" s="3" t="s">
        <v>7095</v>
      </c>
      <c r="H1551" s="3" t="s">
        <v>1701</v>
      </c>
      <c r="I1551" s="3" t="s">
        <v>1070</v>
      </c>
      <c r="J1551" s="3" t="s">
        <v>3217</v>
      </c>
      <c r="K1551" s="3" t="s">
        <v>270</v>
      </c>
      <c r="L1551" s="3" t="s">
        <v>6554</v>
      </c>
      <c r="M1551" s="3" t="s">
        <v>82</v>
      </c>
      <c r="N1551" s="3" t="s">
        <v>958</v>
      </c>
      <c r="O1551" s="3">
        <v>0</v>
      </c>
      <c r="P1551" s="3">
        <v>13</v>
      </c>
      <c r="Q1551" s="3" t="s">
        <v>60</v>
      </c>
      <c r="R1551" s="3" t="s">
        <v>61</v>
      </c>
      <c r="S1551" s="3">
        <v>14</v>
      </c>
      <c r="T1551" s="3">
        <v>2</v>
      </c>
      <c r="U1551" s="3">
        <v>12</v>
      </c>
      <c r="V1551" s="3">
        <v>9</v>
      </c>
      <c r="W1551" s="3">
        <v>0</v>
      </c>
      <c r="X1551" s="3" t="s">
        <v>147</v>
      </c>
      <c r="Y1551" s="3">
        <v>0</v>
      </c>
      <c r="Z1551" s="3">
        <v>0</v>
      </c>
      <c r="AA1551" s="3">
        <v>0</v>
      </c>
      <c r="AB1551" s="3">
        <v>0</v>
      </c>
      <c r="AC1551" s="3">
        <v>2</v>
      </c>
      <c r="AD1551" s="3">
        <v>2</v>
      </c>
      <c r="AE1551" s="3">
        <v>14</v>
      </c>
      <c r="AF1551" s="3" t="s">
        <v>0</v>
      </c>
      <c r="AG1551" s="3" t="s">
        <v>49</v>
      </c>
    </row>
    <row r="1552" spans="1:33" ht="51" x14ac:dyDescent="0.2">
      <c r="A1552" s="4" t="str">
        <f>HYPERLINK("http://www.patentics.cn/invokexml.do?sf=ShowPatent&amp;spn=EP2302844&amp;sv=36a57c08800ed5e90f246040065a41a0","EP2302844")</f>
        <v>EP2302844</v>
      </c>
      <c r="B1552" s="2" t="s">
        <v>7096</v>
      </c>
      <c r="C1552" s="2" t="s">
        <v>7097</v>
      </c>
      <c r="D1552" s="2" t="s">
        <v>346</v>
      </c>
      <c r="E1552" s="2" t="s">
        <v>346</v>
      </c>
      <c r="F1552" s="2" t="s">
        <v>7098</v>
      </c>
      <c r="G1552" s="2" t="s">
        <v>3543</v>
      </c>
      <c r="H1552" s="2" t="s">
        <v>3084</v>
      </c>
      <c r="I1552" s="2" t="s">
        <v>7099</v>
      </c>
      <c r="J1552" s="2" t="s">
        <v>4778</v>
      </c>
      <c r="K1552" s="2" t="s">
        <v>58</v>
      </c>
      <c r="L1552" s="2" t="s">
        <v>1236</v>
      </c>
      <c r="M1552" s="2" t="s">
        <v>82</v>
      </c>
      <c r="N1552" s="2" t="s">
        <v>7100</v>
      </c>
      <c r="O1552" s="2">
        <v>15</v>
      </c>
      <c r="P1552" s="2">
        <v>24</v>
      </c>
      <c r="Q1552" s="2" t="s">
        <v>352</v>
      </c>
      <c r="R1552" s="2" t="s">
        <v>47</v>
      </c>
      <c r="S1552" s="2">
        <v>0</v>
      </c>
      <c r="T1552" s="2">
        <v>0</v>
      </c>
      <c r="U1552" s="2">
        <v>0</v>
      </c>
      <c r="V1552" s="2">
        <v>0</v>
      </c>
      <c r="W1552" s="2">
        <v>3</v>
      </c>
      <c r="X1552" s="2" t="s">
        <v>4736</v>
      </c>
      <c r="Y1552" s="2">
        <v>1</v>
      </c>
      <c r="Z1552" s="2">
        <v>2</v>
      </c>
      <c r="AA1552" s="2">
        <v>3</v>
      </c>
      <c r="AB1552" s="2">
        <v>1</v>
      </c>
      <c r="AC1552" s="2">
        <v>6</v>
      </c>
      <c r="AD1552" s="2">
        <v>5</v>
      </c>
      <c r="AE1552" s="2" t="s">
        <v>0</v>
      </c>
      <c r="AF1552" s="2">
        <v>1</v>
      </c>
      <c r="AG1552" s="2" t="s">
        <v>0</v>
      </c>
    </row>
    <row r="1553" spans="1:33" ht="229.5" x14ac:dyDescent="0.2">
      <c r="A1553" s="5" t="str">
        <f>HYPERLINK("http://www.patentics.cn/invokexml.do?sf=ShowPatent&amp;spn=US9445321&amp;sv=e145c23e02918d39309b734900da7230","US9445321")</f>
        <v>US9445321</v>
      </c>
      <c r="B1553" s="3" t="s">
        <v>7101</v>
      </c>
      <c r="C1553" s="3" t="s">
        <v>7102</v>
      </c>
      <c r="D1553" s="3" t="s">
        <v>52</v>
      </c>
      <c r="E1553" s="3" t="s">
        <v>52</v>
      </c>
      <c r="F1553" s="3" t="s">
        <v>7103</v>
      </c>
      <c r="G1553" s="3" t="s">
        <v>6523</v>
      </c>
      <c r="H1553" s="3" t="s">
        <v>7104</v>
      </c>
      <c r="I1553" s="3" t="s">
        <v>316</v>
      </c>
      <c r="J1553" s="3" t="s">
        <v>1422</v>
      </c>
      <c r="K1553" s="3" t="s">
        <v>82</v>
      </c>
      <c r="L1553" s="3" t="s">
        <v>83</v>
      </c>
      <c r="M1553" s="3" t="s">
        <v>82</v>
      </c>
      <c r="N1553" s="3" t="s">
        <v>1537</v>
      </c>
      <c r="O1553" s="3">
        <v>0</v>
      </c>
      <c r="P1553" s="3">
        <v>16</v>
      </c>
      <c r="Q1553" s="3" t="s">
        <v>60</v>
      </c>
      <c r="R1553" s="3" t="s">
        <v>61</v>
      </c>
      <c r="S1553" s="3">
        <v>12</v>
      </c>
      <c r="T1553" s="3">
        <v>1</v>
      </c>
      <c r="U1553" s="3">
        <v>11</v>
      </c>
      <c r="V1553" s="3">
        <v>6</v>
      </c>
      <c r="W1553" s="3">
        <v>0</v>
      </c>
      <c r="X1553" s="3" t="s">
        <v>147</v>
      </c>
      <c r="Y1553" s="3">
        <v>0</v>
      </c>
      <c r="Z1553" s="3">
        <v>0</v>
      </c>
      <c r="AA1553" s="3">
        <v>0</v>
      </c>
      <c r="AB1553" s="3">
        <v>0</v>
      </c>
      <c r="AC1553" s="3">
        <v>0</v>
      </c>
      <c r="AD1553" s="3">
        <v>0</v>
      </c>
      <c r="AE1553" s="3">
        <v>14</v>
      </c>
      <c r="AF1553" s="3" t="s">
        <v>0</v>
      </c>
      <c r="AG1553" s="3" t="s">
        <v>49</v>
      </c>
    </row>
    <row r="1554" spans="1:33" ht="51" x14ac:dyDescent="0.2">
      <c r="A1554" s="4" t="str">
        <f>HYPERLINK("http://www.patentics.cn/invokexml.do?sf=ShowPatent&amp;spn=EP2291014&amp;sv=3a10f3e94455ddca003fac426a7929a4","EP2291014")</f>
        <v>EP2291014</v>
      </c>
      <c r="B1554" s="2" t="s">
        <v>7105</v>
      </c>
      <c r="C1554" s="2" t="s">
        <v>7106</v>
      </c>
      <c r="D1554" s="2" t="s">
        <v>346</v>
      </c>
      <c r="E1554" s="2" t="s">
        <v>346</v>
      </c>
      <c r="F1554" s="2" t="s">
        <v>7098</v>
      </c>
      <c r="G1554" s="2" t="s">
        <v>3543</v>
      </c>
      <c r="H1554" s="2" t="s">
        <v>7107</v>
      </c>
      <c r="I1554" s="2" t="s">
        <v>2456</v>
      </c>
      <c r="J1554" s="2" t="s">
        <v>7108</v>
      </c>
      <c r="K1554" s="2" t="s">
        <v>82</v>
      </c>
      <c r="L1554" s="2" t="s">
        <v>3516</v>
      </c>
      <c r="M1554" s="2" t="s">
        <v>82</v>
      </c>
      <c r="N1554" s="2" t="s">
        <v>3214</v>
      </c>
      <c r="O1554" s="2">
        <v>10</v>
      </c>
      <c r="P1554" s="2">
        <v>20</v>
      </c>
      <c r="Q1554" s="2" t="s">
        <v>352</v>
      </c>
      <c r="R1554" s="2" t="s">
        <v>47</v>
      </c>
      <c r="S1554" s="2">
        <v>0</v>
      </c>
      <c r="T1554" s="2">
        <v>0</v>
      </c>
      <c r="U1554" s="2">
        <v>0</v>
      </c>
      <c r="V1554" s="2">
        <v>0</v>
      </c>
      <c r="W1554" s="2">
        <v>15</v>
      </c>
      <c r="X1554" s="2" t="s">
        <v>4764</v>
      </c>
      <c r="Y1554" s="2">
        <v>0</v>
      </c>
      <c r="Z1554" s="2">
        <v>15</v>
      </c>
      <c r="AA1554" s="2">
        <v>1</v>
      </c>
      <c r="AB1554" s="2">
        <v>3</v>
      </c>
      <c r="AC1554" s="2">
        <v>8</v>
      </c>
      <c r="AD1554" s="2">
        <v>5</v>
      </c>
      <c r="AE1554" s="2" t="s">
        <v>0</v>
      </c>
      <c r="AF1554" s="2">
        <v>1</v>
      </c>
      <c r="AG1554" s="2" t="s">
        <v>0</v>
      </c>
    </row>
    <row r="1555" spans="1:33" ht="89.25" x14ac:dyDescent="0.2">
      <c r="A1555" s="5" t="str">
        <f>HYPERLINK("http://www.patentics.cn/invokexml.do?sf=ShowPatent&amp;spn=US9220036&amp;sv=15e3d2120e59285eaa36c8b62b89396e","US9220036")</f>
        <v>US9220036</v>
      </c>
      <c r="B1555" s="3" t="s">
        <v>7109</v>
      </c>
      <c r="C1555" s="3" t="s">
        <v>7110</v>
      </c>
      <c r="D1555" s="3" t="s">
        <v>52</v>
      </c>
      <c r="E1555" s="3" t="s">
        <v>52</v>
      </c>
      <c r="F1555" s="3" t="s">
        <v>7111</v>
      </c>
      <c r="G1555" s="3" t="s">
        <v>5118</v>
      </c>
      <c r="H1555" s="3" t="s">
        <v>1934</v>
      </c>
      <c r="I1555" s="3" t="s">
        <v>376</v>
      </c>
      <c r="J1555" s="3" t="s">
        <v>3256</v>
      </c>
      <c r="K1555" s="3" t="s">
        <v>82</v>
      </c>
      <c r="L1555" s="3" t="s">
        <v>177</v>
      </c>
      <c r="M1555" s="3" t="s">
        <v>82</v>
      </c>
      <c r="N1555" s="3" t="s">
        <v>3421</v>
      </c>
      <c r="O1555" s="3">
        <v>0</v>
      </c>
      <c r="P1555" s="3">
        <v>18</v>
      </c>
      <c r="Q1555" s="3" t="s">
        <v>60</v>
      </c>
      <c r="R1555" s="3" t="s">
        <v>61</v>
      </c>
      <c r="S1555" s="3">
        <v>9</v>
      </c>
      <c r="T1555" s="3">
        <v>0</v>
      </c>
      <c r="U1555" s="3">
        <v>9</v>
      </c>
      <c r="V1555" s="3">
        <v>8</v>
      </c>
      <c r="W1555" s="3">
        <v>1</v>
      </c>
      <c r="X1555" s="3" t="s">
        <v>1186</v>
      </c>
      <c r="Y1555" s="3">
        <v>1</v>
      </c>
      <c r="Z1555" s="3">
        <v>0</v>
      </c>
      <c r="AA1555" s="3">
        <v>1</v>
      </c>
      <c r="AB1555" s="3">
        <v>1</v>
      </c>
      <c r="AC1555" s="3">
        <v>9</v>
      </c>
      <c r="AD1555" s="3">
        <v>6</v>
      </c>
      <c r="AE1555" s="3">
        <v>14</v>
      </c>
      <c r="AF1555" s="3" t="s">
        <v>0</v>
      </c>
      <c r="AG1555" s="3" t="s">
        <v>49</v>
      </c>
    </row>
    <row r="1556" spans="1:33" ht="38.25" x14ac:dyDescent="0.2">
      <c r="A1556" s="4" t="str">
        <f>HYPERLINK("http://www.patentics.cn/invokexml.do?sf=ShowPatent&amp;spn=EP2276279&amp;sv=5bde2bf18cee8d1e7abe2d8f5d5c8001","EP2276279")</f>
        <v>EP2276279</v>
      </c>
      <c r="B1556" s="2" t="s">
        <v>7112</v>
      </c>
      <c r="C1556" s="2" t="s">
        <v>7113</v>
      </c>
      <c r="D1556" s="2" t="s">
        <v>346</v>
      </c>
      <c r="E1556" s="2" t="s">
        <v>346</v>
      </c>
      <c r="F1556" s="2" t="s">
        <v>7114</v>
      </c>
      <c r="G1556" s="2" t="s">
        <v>7115</v>
      </c>
      <c r="H1556" s="2" t="s">
        <v>5210</v>
      </c>
      <c r="I1556" s="2" t="s">
        <v>3816</v>
      </c>
      <c r="J1556" s="2" t="s">
        <v>1069</v>
      </c>
      <c r="K1556" s="2" t="s">
        <v>58</v>
      </c>
      <c r="L1556" s="2" t="s">
        <v>4145</v>
      </c>
      <c r="M1556" s="2" t="s">
        <v>82</v>
      </c>
      <c r="N1556" s="2" t="s">
        <v>1277</v>
      </c>
      <c r="O1556" s="2">
        <v>25</v>
      </c>
      <c r="P1556" s="2">
        <v>15</v>
      </c>
      <c r="Q1556" s="2" t="s">
        <v>352</v>
      </c>
      <c r="R1556" s="2" t="s">
        <v>47</v>
      </c>
      <c r="S1556" s="2">
        <v>0</v>
      </c>
      <c r="T1556" s="2">
        <v>0</v>
      </c>
      <c r="U1556" s="2">
        <v>0</v>
      </c>
      <c r="V1556" s="2">
        <v>0</v>
      </c>
      <c r="W1556" s="2">
        <v>2</v>
      </c>
      <c r="X1556" s="2" t="s">
        <v>7116</v>
      </c>
      <c r="Y1556" s="2">
        <v>0</v>
      </c>
      <c r="Z1556" s="2">
        <v>2</v>
      </c>
      <c r="AA1556" s="2">
        <v>2</v>
      </c>
      <c r="AB1556" s="2">
        <v>1</v>
      </c>
      <c r="AC1556" s="2">
        <v>5</v>
      </c>
      <c r="AD1556" s="2">
        <v>4</v>
      </c>
      <c r="AE1556" s="2" t="s">
        <v>0</v>
      </c>
      <c r="AF1556" s="2">
        <v>1</v>
      </c>
      <c r="AG1556" s="2" t="s">
        <v>0</v>
      </c>
    </row>
    <row r="1557" spans="1:33" ht="76.5" x14ac:dyDescent="0.2">
      <c r="A1557" s="5" t="str">
        <f>HYPERLINK("http://www.patentics.cn/invokexml.do?sf=ShowPatent&amp;spn=WO2016049071&amp;sv=179bd6d141e73f62f98f943e2a6c4edd","WO2016049071")</f>
        <v>WO2016049071</v>
      </c>
      <c r="B1557" s="3" t="s">
        <v>7117</v>
      </c>
      <c r="C1557" s="3" t="s">
        <v>7118</v>
      </c>
      <c r="D1557" s="3" t="s">
        <v>52</v>
      </c>
      <c r="E1557" s="3" t="s">
        <v>52</v>
      </c>
      <c r="F1557" s="3" t="s">
        <v>7119</v>
      </c>
      <c r="G1557" s="3" t="s">
        <v>4856</v>
      </c>
      <c r="H1557" s="3" t="s">
        <v>183</v>
      </c>
      <c r="I1557" s="3" t="s">
        <v>240</v>
      </c>
      <c r="J1557" s="3" t="s">
        <v>7120</v>
      </c>
      <c r="K1557" s="3" t="s">
        <v>58</v>
      </c>
      <c r="L1557" s="3" t="s">
        <v>722</v>
      </c>
      <c r="M1557" s="3" t="s">
        <v>0</v>
      </c>
      <c r="N1557" s="3" t="s">
        <v>0</v>
      </c>
      <c r="O1557" s="3">
        <v>97</v>
      </c>
      <c r="P1557" s="3">
        <v>9</v>
      </c>
      <c r="Q1557" s="3" t="s">
        <v>352</v>
      </c>
      <c r="R1557" s="3" t="s">
        <v>61</v>
      </c>
      <c r="S1557" s="3">
        <v>4</v>
      </c>
      <c r="T1557" s="3">
        <v>0</v>
      </c>
      <c r="U1557" s="3">
        <v>4</v>
      </c>
      <c r="V1557" s="3">
        <v>4</v>
      </c>
      <c r="W1557" s="3">
        <v>0</v>
      </c>
      <c r="X1557" s="3" t="s">
        <v>147</v>
      </c>
      <c r="Y1557" s="3">
        <v>0</v>
      </c>
      <c r="Z1557" s="3">
        <v>0</v>
      </c>
      <c r="AA1557" s="3">
        <v>0</v>
      </c>
      <c r="AB1557" s="3">
        <v>0</v>
      </c>
      <c r="AC1557" s="3">
        <v>1</v>
      </c>
      <c r="AD1557" s="3">
        <v>2</v>
      </c>
      <c r="AE1557" s="3">
        <v>14</v>
      </c>
      <c r="AF1557" s="3" t="s">
        <v>0</v>
      </c>
      <c r="AG1557" s="3" t="s">
        <v>0</v>
      </c>
    </row>
    <row r="1558" spans="1:33" ht="38.25" x14ac:dyDescent="0.2">
      <c r="A1558" s="4" t="str">
        <f>HYPERLINK("http://www.patentics.cn/invokexml.do?sf=ShowPatent&amp;spn=EP2257085&amp;sv=4a9f6895544e4a0d699e07d60d0af489","EP2257085")</f>
        <v>EP2257085</v>
      </c>
      <c r="B1558" s="2" t="s">
        <v>7121</v>
      </c>
      <c r="C1558" s="2" t="s">
        <v>7122</v>
      </c>
      <c r="D1558" s="2" t="s">
        <v>346</v>
      </c>
      <c r="E1558" s="2" t="s">
        <v>346</v>
      </c>
      <c r="F1558" s="2" t="s">
        <v>7123</v>
      </c>
      <c r="G1558" s="2" t="s">
        <v>7124</v>
      </c>
      <c r="H1558" s="2" t="s">
        <v>6896</v>
      </c>
      <c r="I1558" s="2" t="s">
        <v>1374</v>
      </c>
      <c r="J1558" s="2" t="s">
        <v>2914</v>
      </c>
      <c r="K1558" s="2" t="s">
        <v>82</v>
      </c>
      <c r="L1558" s="2" t="s">
        <v>2082</v>
      </c>
      <c r="M1558" s="2" t="s">
        <v>82</v>
      </c>
      <c r="N1558" s="2" t="s">
        <v>958</v>
      </c>
      <c r="O1558" s="2">
        <v>10</v>
      </c>
      <c r="P1558" s="2">
        <v>16</v>
      </c>
      <c r="Q1558" s="2" t="s">
        <v>352</v>
      </c>
      <c r="R1558" s="2" t="s">
        <v>47</v>
      </c>
      <c r="S1558" s="2">
        <v>1</v>
      </c>
      <c r="T1558" s="2">
        <v>0</v>
      </c>
      <c r="U1558" s="2">
        <v>1</v>
      </c>
      <c r="V1558" s="2">
        <v>1</v>
      </c>
      <c r="W1558" s="2">
        <v>11</v>
      </c>
      <c r="X1558" s="2" t="s">
        <v>5304</v>
      </c>
      <c r="Y1558" s="2">
        <v>0</v>
      </c>
      <c r="Z1558" s="2">
        <v>11</v>
      </c>
      <c r="AA1558" s="2">
        <v>3</v>
      </c>
      <c r="AB1558" s="2">
        <v>3</v>
      </c>
      <c r="AC1558" s="2">
        <v>6</v>
      </c>
      <c r="AD1558" s="2">
        <v>4</v>
      </c>
      <c r="AE1558" s="2" t="s">
        <v>0</v>
      </c>
      <c r="AF1558" s="2">
        <v>1</v>
      </c>
      <c r="AG1558" s="2" t="s">
        <v>0</v>
      </c>
    </row>
    <row r="1559" spans="1:33" ht="51" x14ac:dyDescent="0.2">
      <c r="A1559" s="5" t="str">
        <f>HYPERLINK("http://www.patentics.cn/invokexml.do?sf=ShowPatent&amp;spn=WO2014099553&amp;sv=c6b61522a4c7cc6d2cb8a0819a31f842","WO2014099553")</f>
        <v>WO2014099553</v>
      </c>
      <c r="B1559" s="3" t="s">
        <v>7125</v>
      </c>
      <c r="C1559" s="3" t="s">
        <v>7126</v>
      </c>
      <c r="D1559" s="3" t="s">
        <v>52</v>
      </c>
      <c r="E1559" s="3" t="s">
        <v>52</v>
      </c>
      <c r="F1559" s="3" t="s">
        <v>7127</v>
      </c>
      <c r="G1559" s="3" t="s">
        <v>7128</v>
      </c>
      <c r="H1559" s="3" t="s">
        <v>5079</v>
      </c>
      <c r="I1559" s="3" t="s">
        <v>5165</v>
      </c>
      <c r="J1559" s="3" t="s">
        <v>5080</v>
      </c>
      <c r="K1559" s="3" t="s">
        <v>82</v>
      </c>
      <c r="L1559" s="3" t="s">
        <v>177</v>
      </c>
      <c r="M1559" s="3" t="s">
        <v>0</v>
      </c>
      <c r="N1559" s="3" t="s">
        <v>0</v>
      </c>
      <c r="O1559" s="3">
        <v>20</v>
      </c>
      <c r="P1559" s="3">
        <v>5</v>
      </c>
      <c r="Q1559" s="3" t="s">
        <v>352</v>
      </c>
      <c r="R1559" s="3" t="s">
        <v>61</v>
      </c>
      <c r="S1559" s="3">
        <v>4</v>
      </c>
      <c r="T1559" s="3">
        <v>0</v>
      </c>
      <c r="U1559" s="3">
        <v>4</v>
      </c>
      <c r="V1559" s="3">
        <v>4</v>
      </c>
      <c r="W1559" s="3">
        <v>0</v>
      </c>
      <c r="X1559" s="3" t="s">
        <v>147</v>
      </c>
      <c r="Y1559" s="3">
        <v>0</v>
      </c>
      <c r="Z1559" s="3">
        <v>0</v>
      </c>
      <c r="AA1559" s="3">
        <v>0</v>
      </c>
      <c r="AB1559" s="3">
        <v>0</v>
      </c>
      <c r="AC1559" s="3">
        <v>2</v>
      </c>
      <c r="AD1559" s="3">
        <v>3</v>
      </c>
      <c r="AE1559" s="3">
        <v>14</v>
      </c>
      <c r="AF1559" s="3" t="s">
        <v>0</v>
      </c>
      <c r="AG1559" s="3" t="s">
        <v>0</v>
      </c>
    </row>
    <row r="1560" spans="1:33" ht="38.25" x14ac:dyDescent="0.2">
      <c r="A1560" s="4" t="str">
        <f>HYPERLINK("http://www.patentics.cn/invokexml.do?sf=ShowPatent&amp;spn=EP2234426&amp;sv=2a9a62cc1f4b26cd549fcd3add4271a0","EP2234426")</f>
        <v>EP2234426</v>
      </c>
      <c r="B1560" s="2" t="s">
        <v>7129</v>
      </c>
      <c r="C1560" s="2" t="s">
        <v>1163</v>
      </c>
      <c r="D1560" s="2" t="s">
        <v>346</v>
      </c>
      <c r="E1560" s="2" t="s">
        <v>346</v>
      </c>
      <c r="F1560" s="2" t="s">
        <v>7130</v>
      </c>
      <c r="G1560" s="2" t="s">
        <v>2797</v>
      </c>
      <c r="H1560" s="2" t="s">
        <v>1167</v>
      </c>
      <c r="I1560" s="2" t="s">
        <v>1168</v>
      </c>
      <c r="J1560" s="2" t="s">
        <v>1594</v>
      </c>
      <c r="K1560" s="2" t="s">
        <v>82</v>
      </c>
      <c r="L1560" s="2" t="s">
        <v>997</v>
      </c>
      <c r="M1560" s="2" t="s">
        <v>58</v>
      </c>
      <c r="N1560" s="2" t="s">
        <v>103</v>
      </c>
      <c r="O1560" s="2">
        <v>17</v>
      </c>
      <c r="P1560" s="2">
        <v>17</v>
      </c>
      <c r="Q1560" s="2" t="s">
        <v>352</v>
      </c>
      <c r="R1560" s="2" t="s">
        <v>47</v>
      </c>
      <c r="S1560" s="2">
        <v>1</v>
      </c>
      <c r="T1560" s="2">
        <v>0</v>
      </c>
      <c r="U1560" s="2">
        <v>1</v>
      </c>
      <c r="V1560" s="2">
        <v>1</v>
      </c>
      <c r="W1560" s="2">
        <v>7</v>
      </c>
      <c r="X1560" s="2" t="s">
        <v>572</v>
      </c>
      <c r="Y1560" s="2">
        <v>0</v>
      </c>
      <c r="Z1560" s="2">
        <v>7</v>
      </c>
      <c r="AA1560" s="2">
        <v>1</v>
      </c>
      <c r="AB1560" s="2">
        <v>2</v>
      </c>
      <c r="AC1560" s="2">
        <v>14</v>
      </c>
      <c r="AD1560" s="2">
        <v>7</v>
      </c>
      <c r="AE1560" s="2" t="s">
        <v>0</v>
      </c>
      <c r="AF1560" s="2">
        <v>1</v>
      </c>
      <c r="AG1560" s="2" t="s">
        <v>0</v>
      </c>
    </row>
    <row r="1561" spans="1:33" ht="102" x14ac:dyDescent="0.2">
      <c r="A1561" s="5" t="str">
        <f>HYPERLINK("http://www.patentics.cn/invokexml.do?sf=ShowPatent&amp;spn=WO2013192313&amp;sv=668024b788f048fbd2dc931d83cfdbc1","WO2013192313")</f>
        <v>WO2013192313</v>
      </c>
      <c r="B1561" s="3" t="s">
        <v>7131</v>
      </c>
      <c r="C1561" s="3" t="s">
        <v>7132</v>
      </c>
      <c r="D1561" s="3" t="s">
        <v>52</v>
      </c>
      <c r="E1561" s="3" t="s">
        <v>52</v>
      </c>
      <c r="F1561" s="3" t="s">
        <v>7133</v>
      </c>
      <c r="G1561" s="3" t="s">
        <v>7134</v>
      </c>
      <c r="H1561" s="3" t="s">
        <v>7135</v>
      </c>
      <c r="I1561" s="3" t="s">
        <v>7136</v>
      </c>
      <c r="J1561" s="3" t="s">
        <v>7137</v>
      </c>
      <c r="K1561" s="3" t="s">
        <v>82</v>
      </c>
      <c r="L1561" s="3" t="s">
        <v>997</v>
      </c>
      <c r="M1561" s="3" t="s">
        <v>0</v>
      </c>
      <c r="N1561" s="3" t="s">
        <v>0</v>
      </c>
      <c r="O1561" s="3">
        <v>28</v>
      </c>
      <c r="P1561" s="3">
        <v>10</v>
      </c>
      <c r="Q1561" s="3" t="s">
        <v>352</v>
      </c>
      <c r="R1561" s="3" t="s">
        <v>61</v>
      </c>
      <c r="S1561" s="3">
        <v>3</v>
      </c>
      <c r="T1561" s="3">
        <v>0</v>
      </c>
      <c r="U1561" s="3">
        <v>3</v>
      </c>
      <c r="V1561" s="3">
        <v>3</v>
      </c>
      <c r="W1561" s="3">
        <v>0</v>
      </c>
      <c r="X1561" s="3" t="s">
        <v>147</v>
      </c>
      <c r="Y1561" s="3">
        <v>0</v>
      </c>
      <c r="Z1561" s="3">
        <v>0</v>
      </c>
      <c r="AA1561" s="3">
        <v>0</v>
      </c>
      <c r="AB1561" s="3">
        <v>0</v>
      </c>
      <c r="AC1561" s="3">
        <v>1</v>
      </c>
      <c r="AD1561" s="3">
        <v>2</v>
      </c>
      <c r="AE1561" s="3">
        <v>14</v>
      </c>
      <c r="AF1561" s="3" t="s">
        <v>0</v>
      </c>
      <c r="AG1561" s="3" t="s">
        <v>0</v>
      </c>
    </row>
    <row r="1562" spans="1:33" ht="102" x14ac:dyDescent="0.2">
      <c r="A1562" s="4" t="str">
        <f>HYPERLINK("http://www.patentics.cn/invokexml.do?sf=ShowPatent&amp;spn=EP1924113&amp;sv=21ba4bcd876a0673b7238a155c4f1296","EP1924113")</f>
        <v>EP1924113</v>
      </c>
      <c r="B1562" s="2" t="s">
        <v>7138</v>
      </c>
      <c r="C1562" s="2" t="s">
        <v>7139</v>
      </c>
      <c r="D1562" s="2" t="s">
        <v>346</v>
      </c>
      <c r="E1562" s="2" t="s">
        <v>346</v>
      </c>
      <c r="F1562" s="2" t="s">
        <v>7140</v>
      </c>
      <c r="G1562" s="2" t="s">
        <v>1976</v>
      </c>
      <c r="H1562" s="2" t="s">
        <v>5985</v>
      </c>
      <c r="I1562" s="2" t="s">
        <v>6932</v>
      </c>
      <c r="J1562" s="2" t="s">
        <v>3663</v>
      </c>
      <c r="K1562" s="2" t="s">
        <v>82</v>
      </c>
      <c r="L1562" s="2" t="s">
        <v>2047</v>
      </c>
      <c r="M1562" s="2" t="s">
        <v>82</v>
      </c>
      <c r="N1562" s="2" t="s">
        <v>2048</v>
      </c>
      <c r="O1562" s="2">
        <v>10</v>
      </c>
      <c r="P1562" s="2">
        <v>34</v>
      </c>
      <c r="Q1562" s="2" t="s">
        <v>352</v>
      </c>
      <c r="R1562" s="2" t="s">
        <v>47</v>
      </c>
      <c r="S1562" s="2">
        <v>4</v>
      </c>
      <c r="T1562" s="2">
        <v>0</v>
      </c>
      <c r="U1562" s="2">
        <v>4</v>
      </c>
      <c r="V1562" s="2">
        <v>2</v>
      </c>
      <c r="W1562" s="2">
        <v>2</v>
      </c>
      <c r="X1562" s="2" t="s">
        <v>472</v>
      </c>
      <c r="Y1562" s="2">
        <v>1</v>
      </c>
      <c r="Z1562" s="2">
        <v>1</v>
      </c>
      <c r="AA1562" s="2">
        <v>2</v>
      </c>
      <c r="AB1562" s="2">
        <v>2</v>
      </c>
      <c r="AC1562" s="2">
        <v>9</v>
      </c>
      <c r="AD1562" s="2">
        <v>5</v>
      </c>
      <c r="AE1562" s="2" t="s">
        <v>0</v>
      </c>
      <c r="AF1562" s="2">
        <v>1</v>
      </c>
      <c r="AG1562" s="2" t="s">
        <v>0</v>
      </c>
    </row>
    <row r="1563" spans="1:33" ht="102" x14ac:dyDescent="0.2">
      <c r="A1563" s="5" t="str">
        <f>HYPERLINK("http://www.patentics.cn/invokexml.do?sf=ShowPatent&amp;spn=WO2013130904&amp;sv=7365f0330ad0a23aba4c939b0d0df257","WO2013130904")</f>
        <v>WO2013130904</v>
      </c>
      <c r="B1563" s="3" t="s">
        <v>7141</v>
      </c>
      <c r="C1563" s="3" t="s">
        <v>7142</v>
      </c>
      <c r="D1563" s="3" t="s">
        <v>52</v>
      </c>
      <c r="E1563" s="3" t="s">
        <v>52</v>
      </c>
      <c r="F1563" s="3" t="s">
        <v>7143</v>
      </c>
      <c r="G1563" s="3" t="s">
        <v>7144</v>
      </c>
      <c r="H1563" s="3" t="s">
        <v>5974</v>
      </c>
      <c r="I1563" s="3" t="s">
        <v>4480</v>
      </c>
      <c r="J1563" s="3" t="s">
        <v>738</v>
      </c>
      <c r="K1563" s="3" t="s">
        <v>58</v>
      </c>
      <c r="L1563" s="3" t="s">
        <v>613</v>
      </c>
      <c r="M1563" s="3" t="s">
        <v>0</v>
      </c>
      <c r="N1563" s="3" t="s">
        <v>0</v>
      </c>
      <c r="O1563" s="3">
        <v>20</v>
      </c>
      <c r="P1563" s="3">
        <v>7</v>
      </c>
      <c r="Q1563" s="3" t="s">
        <v>352</v>
      </c>
      <c r="R1563" s="3" t="s">
        <v>61</v>
      </c>
      <c r="S1563" s="3">
        <v>6</v>
      </c>
      <c r="T1563" s="3">
        <v>1</v>
      </c>
      <c r="U1563" s="3">
        <v>5</v>
      </c>
      <c r="V1563" s="3">
        <v>5</v>
      </c>
      <c r="W1563" s="3">
        <v>0</v>
      </c>
      <c r="X1563" s="3" t="s">
        <v>147</v>
      </c>
      <c r="Y1563" s="3">
        <v>0</v>
      </c>
      <c r="Z1563" s="3">
        <v>0</v>
      </c>
      <c r="AA1563" s="3">
        <v>0</v>
      </c>
      <c r="AB1563" s="3">
        <v>0</v>
      </c>
      <c r="AC1563" s="3">
        <v>1</v>
      </c>
      <c r="AD1563" s="3">
        <v>2</v>
      </c>
      <c r="AE1563" s="3">
        <v>14</v>
      </c>
      <c r="AF1563" s="3" t="s">
        <v>0</v>
      </c>
      <c r="AG1563" s="3" t="s">
        <v>0</v>
      </c>
    </row>
    <row r="1564" spans="1:33" ht="25.5" x14ac:dyDescent="0.2">
      <c r="A1564" s="4" t="str">
        <f>HYPERLINK("http://www.patentics.cn/invokexml.do?sf=ShowPatent&amp;spn=EP1463356&amp;sv=740f80a20296c4b2362c3415bff69b08","EP1463356")</f>
        <v>EP1463356</v>
      </c>
      <c r="B1564" s="2" t="s">
        <v>7145</v>
      </c>
      <c r="C1564" s="2" t="s">
        <v>7146</v>
      </c>
      <c r="D1564" s="2" t="s">
        <v>346</v>
      </c>
      <c r="E1564" s="2" t="s">
        <v>346</v>
      </c>
      <c r="F1564" s="2" t="s">
        <v>7147</v>
      </c>
      <c r="G1564" s="2" t="s">
        <v>7147</v>
      </c>
      <c r="H1564" s="2" t="s">
        <v>7148</v>
      </c>
      <c r="I1564" s="2" t="s">
        <v>7148</v>
      </c>
      <c r="J1564" s="2" t="s">
        <v>7149</v>
      </c>
      <c r="K1564" s="2" t="s">
        <v>82</v>
      </c>
      <c r="L1564" s="2" t="s">
        <v>244</v>
      </c>
      <c r="M1564" s="2" t="s">
        <v>82</v>
      </c>
      <c r="N1564" s="2" t="s">
        <v>1972</v>
      </c>
      <c r="O1564" s="2">
        <v>35</v>
      </c>
      <c r="P1564" s="2">
        <v>32</v>
      </c>
      <c r="Q1564" s="2" t="s">
        <v>352</v>
      </c>
      <c r="R1564" s="2" t="s">
        <v>47</v>
      </c>
      <c r="S1564" s="2">
        <v>3</v>
      </c>
      <c r="T1564" s="2">
        <v>0</v>
      </c>
      <c r="U1564" s="2">
        <v>3</v>
      </c>
      <c r="V1564" s="2">
        <v>3</v>
      </c>
      <c r="W1564" s="2">
        <v>8</v>
      </c>
      <c r="X1564" s="2" t="s">
        <v>7150</v>
      </c>
      <c r="Y1564" s="2">
        <v>0</v>
      </c>
      <c r="Z1564" s="2">
        <v>8</v>
      </c>
      <c r="AA1564" s="2">
        <v>5</v>
      </c>
      <c r="AB1564" s="2">
        <v>4</v>
      </c>
      <c r="AC1564" s="2">
        <v>5</v>
      </c>
      <c r="AD1564" s="2">
        <v>4</v>
      </c>
      <c r="AE1564" s="2" t="s">
        <v>0</v>
      </c>
      <c r="AF1564" s="2">
        <v>1</v>
      </c>
      <c r="AG1564" s="2" t="s">
        <v>0</v>
      </c>
    </row>
    <row r="1565" spans="1:33" ht="63.75" x14ac:dyDescent="0.2">
      <c r="A1565" s="5" t="str">
        <f>HYPERLINK("http://www.patentics.cn/invokexml.do?sf=ShowPatent&amp;spn=WO2013177225&amp;sv=9a9475ec3fee5b1968adacd2528368d3","WO2013177225")</f>
        <v>WO2013177225</v>
      </c>
      <c r="B1565" s="3" t="s">
        <v>7151</v>
      </c>
      <c r="C1565" s="3" t="s">
        <v>7152</v>
      </c>
      <c r="D1565" s="3" t="s">
        <v>52</v>
      </c>
      <c r="E1565" s="3" t="s">
        <v>52</v>
      </c>
      <c r="F1565" s="3" t="s">
        <v>7153</v>
      </c>
      <c r="G1565" s="3" t="s">
        <v>7154</v>
      </c>
      <c r="H1565" s="3" t="s">
        <v>2270</v>
      </c>
      <c r="I1565" s="3" t="s">
        <v>81</v>
      </c>
      <c r="J1565" s="3" t="s">
        <v>7155</v>
      </c>
      <c r="K1565" s="3" t="s">
        <v>82</v>
      </c>
      <c r="L1565" s="3" t="s">
        <v>318</v>
      </c>
      <c r="M1565" s="3" t="s">
        <v>0</v>
      </c>
      <c r="N1565" s="3" t="s">
        <v>0</v>
      </c>
      <c r="O1565" s="3">
        <v>36</v>
      </c>
      <c r="P1565" s="3">
        <v>12</v>
      </c>
      <c r="Q1565" s="3" t="s">
        <v>352</v>
      </c>
      <c r="R1565" s="3" t="s">
        <v>61</v>
      </c>
      <c r="S1565" s="3">
        <v>4</v>
      </c>
      <c r="T1565" s="3">
        <v>0</v>
      </c>
      <c r="U1565" s="3">
        <v>4</v>
      </c>
      <c r="V1565" s="3">
        <v>3</v>
      </c>
      <c r="W1565" s="3">
        <v>0</v>
      </c>
      <c r="X1565" s="3" t="s">
        <v>147</v>
      </c>
      <c r="Y1565" s="3">
        <v>0</v>
      </c>
      <c r="Z1565" s="3">
        <v>0</v>
      </c>
      <c r="AA1565" s="3">
        <v>0</v>
      </c>
      <c r="AB1565" s="3">
        <v>0</v>
      </c>
      <c r="AC1565" s="3">
        <v>2</v>
      </c>
      <c r="AD1565" s="3">
        <v>3</v>
      </c>
      <c r="AE1565" s="3">
        <v>14</v>
      </c>
      <c r="AF1565" s="3" t="s">
        <v>0</v>
      </c>
      <c r="AG1565" s="3" t="s">
        <v>0</v>
      </c>
    </row>
    <row r="1566" spans="1:33" ht="25.5" x14ac:dyDescent="0.2">
      <c r="A1566" s="4" t="str">
        <f>HYPERLINK("http://www.patentics.cn/invokexml.do?sf=ShowPatent&amp;spn=CN103427885&amp;sv=07f2521b11b7f42fd214122d4702fe17","CN103427885")</f>
        <v>CN103427885</v>
      </c>
      <c r="B1566" s="2" t="s">
        <v>7156</v>
      </c>
      <c r="C1566" s="2" t="s">
        <v>7157</v>
      </c>
      <c r="D1566" s="2" t="s">
        <v>38</v>
      </c>
      <c r="E1566" s="2" t="s">
        <v>38</v>
      </c>
      <c r="F1566" s="2" t="s">
        <v>7158</v>
      </c>
      <c r="G1566" s="2" t="s">
        <v>7159</v>
      </c>
      <c r="H1566" s="2" t="s">
        <v>0</v>
      </c>
      <c r="I1566" s="2" t="s">
        <v>7160</v>
      </c>
      <c r="J1566" s="2" t="s">
        <v>3487</v>
      </c>
      <c r="K1566" s="2" t="s">
        <v>84</v>
      </c>
      <c r="L1566" s="2" t="s">
        <v>343</v>
      </c>
      <c r="M1566" s="2" t="s">
        <v>0</v>
      </c>
      <c r="N1566" s="2" t="s">
        <v>0</v>
      </c>
      <c r="O1566" s="2">
        <v>17</v>
      </c>
      <c r="P1566" s="2">
        <v>7</v>
      </c>
      <c r="Q1566" s="2" t="s">
        <v>46</v>
      </c>
      <c r="R1566" s="2" t="s">
        <v>47</v>
      </c>
      <c r="S1566" s="2">
        <v>0</v>
      </c>
      <c r="T1566" s="2">
        <v>0</v>
      </c>
      <c r="U1566" s="2">
        <v>0</v>
      </c>
      <c r="V1566" s="2">
        <v>0</v>
      </c>
      <c r="W1566" s="2">
        <v>1</v>
      </c>
      <c r="X1566" s="2" t="s">
        <v>74</v>
      </c>
      <c r="Y1566" s="2">
        <v>0</v>
      </c>
      <c r="Z1566" s="2">
        <v>1</v>
      </c>
      <c r="AA1566" s="2">
        <v>1</v>
      </c>
      <c r="AB1566" s="2">
        <v>1</v>
      </c>
      <c r="AC1566" s="2">
        <v>0</v>
      </c>
      <c r="AD1566" s="2">
        <v>0</v>
      </c>
      <c r="AE1566" s="2" t="s">
        <v>0</v>
      </c>
      <c r="AF1566" s="2">
        <v>1</v>
      </c>
      <c r="AG1566" s="2" t="s">
        <v>49</v>
      </c>
    </row>
    <row r="1567" spans="1:33" ht="25.5" x14ac:dyDescent="0.2">
      <c r="A1567" s="5" t="str">
        <f>HYPERLINK("http://www.patentics.cn/invokexml.do?sf=ShowPatent&amp;spn=US9444576&amp;sv=56a003b2913c1a336cbd895eaa25ddce","US9444576")</f>
        <v>US9444576</v>
      </c>
      <c r="B1567" s="3" t="s">
        <v>7161</v>
      </c>
      <c r="C1567" s="3" t="s">
        <v>7162</v>
      </c>
      <c r="D1567" s="3" t="s">
        <v>52</v>
      </c>
      <c r="E1567" s="3" t="s">
        <v>52</v>
      </c>
      <c r="F1567" s="3" t="s">
        <v>3275</v>
      </c>
      <c r="G1567" s="3" t="s">
        <v>3275</v>
      </c>
      <c r="H1567" s="3" t="s">
        <v>0</v>
      </c>
      <c r="I1567" s="3" t="s">
        <v>7163</v>
      </c>
      <c r="J1567" s="3" t="s">
        <v>1422</v>
      </c>
      <c r="K1567" s="3" t="s">
        <v>84</v>
      </c>
      <c r="L1567" s="3" t="s">
        <v>135</v>
      </c>
      <c r="M1567" s="3" t="s">
        <v>58</v>
      </c>
      <c r="N1567" s="3" t="s">
        <v>3159</v>
      </c>
      <c r="O1567" s="3">
        <v>0</v>
      </c>
      <c r="P1567" s="3">
        <v>15</v>
      </c>
      <c r="Q1567" s="3" t="s">
        <v>60</v>
      </c>
      <c r="R1567" s="3" t="s">
        <v>61</v>
      </c>
      <c r="S1567" s="3">
        <v>25</v>
      </c>
      <c r="T1567" s="3">
        <v>7</v>
      </c>
      <c r="U1567" s="3">
        <v>18</v>
      </c>
      <c r="V1567" s="3">
        <v>13</v>
      </c>
      <c r="W1567" s="3">
        <v>0</v>
      </c>
      <c r="X1567" s="3" t="s">
        <v>147</v>
      </c>
      <c r="Y1567" s="3">
        <v>0</v>
      </c>
      <c r="Z1567" s="3">
        <v>0</v>
      </c>
      <c r="AA1567" s="3">
        <v>0</v>
      </c>
      <c r="AB1567" s="3">
        <v>0</v>
      </c>
      <c r="AC1567" s="3">
        <v>0</v>
      </c>
      <c r="AD1567" s="3">
        <v>0</v>
      </c>
      <c r="AE1567" s="3">
        <v>14</v>
      </c>
      <c r="AF1567" s="3" t="s">
        <v>0</v>
      </c>
      <c r="AG1567" s="3" t="s">
        <v>49</v>
      </c>
    </row>
    <row r="1568" spans="1:33" ht="38.25" x14ac:dyDescent="0.2">
      <c r="A1568" s="4" t="str">
        <f>HYPERLINK("http://www.patentics.cn/invokexml.do?sf=ShowPatent&amp;spn=CN103391124&amp;sv=c4344178de88cd33452834d64bd973ac","CN103391124")</f>
        <v>CN103391124</v>
      </c>
      <c r="B1568" s="2" t="s">
        <v>7164</v>
      </c>
      <c r="C1568" s="2" t="s">
        <v>7165</v>
      </c>
      <c r="D1568" s="2" t="s">
        <v>38</v>
      </c>
      <c r="E1568" s="2" t="s">
        <v>38</v>
      </c>
      <c r="F1568" s="2" t="s">
        <v>7166</v>
      </c>
      <c r="G1568" s="2" t="s">
        <v>7167</v>
      </c>
      <c r="H1568" s="2" t="s">
        <v>0</v>
      </c>
      <c r="I1568" s="2" t="s">
        <v>6375</v>
      </c>
      <c r="J1568" s="2" t="s">
        <v>7168</v>
      </c>
      <c r="K1568" s="2" t="s">
        <v>84</v>
      </c>
      <c r="L1568" s="2" t="s">
        <v>343</v>
      </c>
      <c r="M1568" s="2" t="s">
        <v>0</v>
      </c>
      <c r="N1568" s="2" t="s">
        <v>0</v>
      </c>
      <c r="O1568" s="2">
        <v>30</v>
      </c>
      <c r="P1568" s="2">
        <v>13</v>
      </c>
      <c r="Q1568" s="2" t="s">
        <v>46</v>
      </c>
      <c r="R1568" s="2" t="s">
        <v>47</v>
      </c>
      <c r="S1568" s="2">
        <v>0</v>
      </c>
      <c r="T1568" s="2">
        <v>0</v>
      </c>
      <c r="U1568" s="2">
        <v>0</v>
      </c>
      <c r="V1568" s="2">
        <v>0</v>
      </c>
      <c r="W1568" s="2">
        <v>3</v>
      </c>
      <c r="X1568" s="2" t="s">
        <v>6293</v>
      </c>
      <c r="Y1568" s="2">
        <v>1</v>
      </c>
      <c r="Z1568" s="2">
        <v>2</v>
      </c>
      <c r="AA1568" s="2">
        <v>3</v>
      </c>
      <c r="AB1568" s="2">
        <v>1</v>
      </c>
      <c r="AC1568" s="2">
        <v>0</v>
      </c>
      <c r="AD1568" s="2">
        <v>0</v>
      </c>
      <c r="AE1568" s="2" t="s">
        <v>0</v>
      </c>
      <c r="AF1568" s="2">
        <v>1</v>
      </c>
      <c r="AG1568" s="2" t="s">
        <v>2231</v>
      </c>
    </row>
    <row r="1569" spans="1:33" ht="63.75" x14ac:dyDescent="0.2">
      <c r="A1569" s="5" t="str">
        <f>HYPERLINK("http://www.patentics.cn/invokexml.do?sf=ShowPatent&amp;spn=WO2015103965&amp;sv=91724665c589d929d1babef88ad6a5e6","WO2015103965")</f>
        <v>WO2015103965</v>
      </c>
      <c r="B1569" s="3" t="s">
        <v>7169</v>
      </c>
      <c r="C1569" s="3" t="s">
        <v>7170</v>
      </c>
      <c r="D1569" s="3" t="s">
        <v>7171</v>
      </c>
      <c r="E1569" s="3" t="s">
        <v>7172</v>
      </c>
      <c r="F1569" s="3" t="s">
        <v>7173</v>
      </c>
      <c r="G1569" s="3" t="s">
        <v>4607</v>
      </c>
      <c r="H1569" s="3" t="s">
        <v>1536</v>
      </c>
      <c r="I1569" s="3" t="s">
        <v>4261</v>
      </c>
      <c r="J1569" s="3" t="s">
        <v>7174</v>
      </c>
      <c r="K1569" s="3" t="s">
        <v>58</v>
      </c>
      <c r="L1569" s="3" t="s">
        <v>613</v>
      </c>
      <c r="M1569" s="3" t="s">
        <v>0</v>
      </c>
      <c r="N1569" s="3" t="s">
        <v>0</v>
      </c>
      <c r="O1569" s="3">
        <v>0</v>
      </c>
      <c r="P1569" s="3">
        <v>0</v>
      </c>
      <c r="Q1569" s="3" t="s">
        <v>352</v>
      </c>
      <c r="R1569" s="3" t="s">
        <v>47</v>
      </c>
      <c r="S1569" s="3">
        <v>4</v>
      </c>
      <c r="T1569" s="3">
        <v>1</v>
      </c>
      <c r="U1569" s="3">
        <v>3</v>
      </c>
      <c r="V1569" s="3">
        <v>4</v>
      </c>
      <c r="W1569" s="3">
        <v>8</v>
      </c>
      <c r="X1569" s="3" t="s">
        <v>147</v>
      </c>
      <c r="Y1569" s="3">
        <v>0</v>
      </c>
      <c r="Z1569" s="3">
        <v>8</v>
      </c>
      <c r="AA1569" s="3">
        <v>0</v>
      </c>
      <c r="AB1569" s="3">
        <v>1</v>
      </c>
      <c r="AC1569" s="3">
        <v>6</v>
      </c>
      <c r="AD1569" s="3">
        <v>5</v>
      </c>
      <c r="AE1569" s="3">
        <v>14</v>
      </c>
      <c r="AF1569" s="3" t="s">
        <v>0</v>
      </c>
      <c r="AG1569" s="3" t="s">
        <v>0</v>
      </c>
    </row>
    <row r="1570" spans="1:33" ht="25.5" x14ac:dyDescent="0.2">
      <c r="A1570" s="4" t="str">
        <f>HYPERLINK("http://www.patentics.cn/invokexml.do?sf=ShowPatent&amp;spn=CN103002475&amp;sv=29b97d368bb4f9cab0b60d2ac7b3f31e","CN103002475")</f>
        <v>CN103002475</v>
      </c>
      <c r="B1570" s="2" t="s">
        <v>7175</v>
      </c>
      <c r="C1570" s="2" t="s">
        <v>7176</v>
      </c>
      <c r="D1570" s="2" t="s">
        <v>38</v>
      </c>
      <c r="E1570" s="2" t="s">
        <v>38</v>
      </c>
      <c r="F1570" s="2" t="s">
        <v>7177</v>
      </c>
      <c r="G1570" s="2" t="s">
        <v>7177</v>
      </c>
      <c r="H1570" s="2" t="s">
        <v>0</v>
      </c>
      <c r="I1570" s="2" t="s">
        <v>7178</v>
      </c>
      <c r="J1570" s="2" t="s">
        <v>972</v>
      </c>
      <c r="K1570" s="2" t="s">
        <v>82</v>
      </c>
      <c r="L1570" s="2" t="s">
        <v>2082</v>
      </c>
      <c r="M1570" s="2" t="s">
        <v>0</v>
      </c>
      <c r="N1570" s="2" t="s">
        <v>0</v>
      </c>
      <c r="O1570" s="2">
        <v>11</v>
      </c>
      <c r="P1570" s="2">
        <v>16</v>
      </c>
      <c r="Q1570" s="2" t="s">
        <v>46</v>
      </c>
      <c r="R1570" s="2" t="s">
        <v>47</v>
      </c>
      <c r="S1570" s="2">
        <v>0</v>
      </c>
      <c r="T1570" s="2">
        <v>0</v>
      </c>
      <c r="U1570" s="2">
        <v>0</v>
      </c>
      <c r="V1570" s="2">
        <v>0</v>
      </c>
      <c r="W1570" s="2">
        <v>1</v>
      </c>
      <c r="X1570" s="2" t="s">
        <v>933</v>
      </c>
      <c r="Y1570" s="2">
        <v>0</v>
      </c>
      <c r="Z1570" s="2">
        <v>1</v>
      </c>
      <c r="AA1570" s="2">
        <v>1</v>
      </c>
      <c r="AB1570" s="2">
        <v>1</v>
      </c>
      <c r="AC1570" s="2">
        <v>0</v>
      </c>
      <c r="AD1570" s="2">
        <v>0</v>
      </c>
      <c r="AE1570" s="2" t="s">
        <v>0</v>
      </c>
      <c r="AF1570" s="2">
        <v>1</v>
      </c>
      <c r="AG1570" s="2" t="s">
        <v>2231</v>
      </c>
    </row>
    <row r="1571" spans="1:33" ht="140.25" x14ac:dyDescent="0.2">
      <c r="A1571" s="5" t="str">
        <f>HYPERLINK("http://www.patentics.cn/invokexml.do?sf=ShowPatent&amp;spn=WO2015148053&amp;sv=f62e06a26862618bd4eb33e2d936da9e","WO2015148053")</f>
        <v>WO2015148053</v>
      </c>
      <c r="B1571" s="3" t="s">
        <v>7179</v>
      </c>
      <c r="C1571" s="3" t="s">
        <v>7180</v>
      </c>
      <c r="D1571" s="3" t="s">
        <v>52</v>
      </c>
      <c r="E1571" s="3" t="s">
        <v>52</v>
      </c>
      <c r="F1571" s="3" t="s">
        <v>7181</v>
      </c>
      <c r="G1571" s="3" t="s">
        <v>7182</v>
      </c>
      <c r="H1571" s="3" t="s">
        <v>7183</v>
      </c>
      <c r="I1571" s="3" t="s">
        <v>7184</v>
      </c>
      <c r="J1571" s="3" t="s">
        <v>7185</v>
      </c>
      <c r="K1571" s="3" t="s">
        <v>82</v>
      </c>
      <c r="L1571" s="3" t="s">
        <v>2015</v>
      </c>
      <c r="M1571" s="3" t="s">
        <v>0</v>
      </c>
      <c r="N1571" s="3" t="s">
        <v>0</v>
      </c>
      <c r="O1571" s="3">
        <v>28</v>
      </c>
      <c r="P1571" s="3">
        <v>9</v>
      </c>
      <c r="Q1571" s="3" t="s">
        <v>352</v>
      </c>
      <c r="R1571" s="3" t="s">
        <v>61</v>
      </c>
      <c r="S1571" s="3">
        <v>4</v>
      </c>
      <c r="T1571" s="3">
        <v>0</v>
      </c>
      <c r="U1571" s="3">
        <v>4</v>
      </c>
      <c r="V1571" s="3">
        <v>3</v>
      </c>
      <c r="W1571" s="3">
        <v>0</v>
      </c>
      <c r="X1571" s="3" t="s">
        <v>147</v>
      </c>
      <c r="Y1571" s="3">
        <v>0</v>
      </c>
      <c r="Z1571" s="3">
        <v>0</v>
      </c>
      <c r="AA1571" s="3">
        <v>0</v>
      </c>
      <c r="AB1571" s="3">
        <v>0</v>
      </c>
      <c r="AC1571" s="3">
        <v>1</v>
      </c>
      <c r="AD1571" s="3">
        <v>2</v>
      </c>
      <c r="AE1571" s="3">
        <v>14</v>
      </c>
      <c r="AF1571" s="3" t="s">
        <v>0</v>
      </c>
      <c r="AG1571" s="3" t="s">
        <v>0</v>
      </c>
    </row>
    <row r="1572" spans="1:33" ht="25.5" x14ac:dyDescent="0.2">
      <c r="A1572" s="4" t="str">
        <f>HYPERLINK("http://www.patentics.cn/invokexml.do?sf=ShowPatent&amp;spn=CN102938757&amp;sv=a467d94a06c2997876ab1dddfd04adda","CN102938757")</f>
        <v>CN102938757</v>
      </c>
      <c r="B1572" s="2" t="s">
        <v>7186</v>
      </c>
      <c r="C1572" s="2" t="s">
        <v>7187</v>
      </c>
      <c r="D1572" s="2" t="s">
        <v>38</v>
      </c>
      <c r="E1572" s="2" t="s">
        <v>38</v>
      </c>
      <c r="F1572" s="2" t="s">
        <v>7188</v>
      </c>
      <c r="G1572" s="2" t="s">
        <v>7189</v>
      </c>
      <c r="H1572" s="2" t="s">
        <v>5231</v>
      </c>
      <c r="I1572" s="2" t="s">
        <v>5231</v>
      </c>
      <c r="J1572" s="2" t="s">
        <v>7190</v>
      </c>
      <c r="K1572" s="2" t="s">
        <v>58</v>
      </c>
      <c r="L1572" s="2" t="s">
        <v>722</v>
      </c>
      <c r="M1572" s="2" t="s">
        <v>0</v>
      </c>
      <c r="N1572" s="2" t="s">
        <v>0</v>
      </c>
      <c r="O1572" s="2">
        <v>20</v>
      </c>
      <c r="P1572" s="2">
        <v>13</v>
      </c>
      <c r="Q1572" s="2" t="s">
        <v>46</v>
      </c>
      <c r="R1572" s="2" t="s">
        <v>47</v>
      </c>
      <c r="S1572" s="2">
        <v>0</v>
      </c>
      <c r="T1572" s="2">
        <v>0</v>
      </c>
      <c r="U1572" s="2">
        <v>0</v>
      </c>
      <c r="V1572" s="2">
        <v>0</v>
      </c>
      <c r="W1572" s="2">
        <v>1</v>
      </c>
      <c r="X1572" s="2" t="s">
        <v>933</v>
      </c>
      <c r="Y1572" s="2">
        <v>0</v>
      </c>
      <c r="Z1572" s="2">
        <v>1</v>
      </c>
      <c r="AA1572" s="2">
        <v>1</v>
      </c>
      <c r="AB1572" s="2">
        <v>1</v>
      </c>
      <c r="AC1572" s="2">
        <v>1</v>
      </c>
      <c r="AD1572" s="2">
        <v>2</v>
      </c>
      <c r="AE1572" s="2" t="s">
        <v>0</v>
      </c>
      <c r="AF1572" s="2">
        <v>1</v>
      </c>
      <c r="AG1572" s="2" t="s">
        <v>2231</v>
      </c>
    </row>
    <row r="1573" spans="1:33" ht="51" x14ac:dyDescent="0.2">
      <c r="A1573" s="5" t="str">
        <f>HYPERLINK("http://www.patentics.cn/invokexml.do?sf=ShowPatent&amp;spn=CN104303483B&amp;sv=aee1a676d72b2ea981600866ca0d2c00","CN104303483B")</f>
        <v>CN104303483B</v>
      </c>
      <c r="B1573" s="3" t="s">
        <v>7191</v>
      </c>
      <c r="C1573" s="3" t="s">
        <v>7192</v>
      </c>
      <c r="D1573" s="3" t="s">
        <v>338</v>
      </c>
      <c r="E1573" s="3" t="s">
        <v>338</v>
      </c>
      <c r="F1573" s="3" t="s">
        <v>7193</v>
      </c>
      <c r="G1573" s="3" t="s">
        <v>7194</v>
      </c>
      <c r="H1573" s="3" t="s">
        <v>6734</v>
      </c>
      <c r="I1573" s="3" t="s">
        <v>7195</v>
      </c>
      <c r="J1573" s="3" t="s">
        <v>5483</v>
      </c>
      <c r="K1573" s="3" t="s">
        <v>58</v>
      </c>
      <c r="L1573" s="3" t="s">
        <v>722</v>
      </c>
      <c r="M1573" s="3" t="s">
        <v>0</v>
      </c>
      <c r="N1573" s="3" t="s">
        <v>0</v>
      </c>
      <c r="O1573" s="3">
        <v>28</v>
      </c>
      <c r="P1573" s="3">
        <v>12</v>
      </c>
      <c r="Q1573" s="3" t="s">
        <v>60</v>
      </c>
      <c r="R1573" s="3" t="s">
        <v>61</v>
      </c>
      <c r="S1573" s="3">
        <v>4</v>
      </c>
      <c r="T1573" s="3">
        <v>0</v>
      </c>
      <c r="U1573" s="3">
        <v>4</v>
      </c>
      <c r="V1573" s="3">
        <v>2</v>
      </c>
      <c r="W1573" s="3">
        <v>0</v>
      </c>
      <c r="X1573" s="3" t="s">
        <v>147</v>
      </c>
      <c r="Y1573" s="3">
        <v>0</v>
      </c>
      <c r="Z1573" s="3">
        <v>0</v>
      </c>
      <c r="AA1573" s="3">
        <v>0</v>
      </c>
      <c r="AB1573" s="3">
        <v>0</v>
      </c>
      <c r="AC1573" s="3">
        <v>0</v>
      </c>
      <c r="AD1573" s="3">
        <v>0</v>
      </c>
      <c r="AE1573" s="3">
        <v>14</v>
      </c>
      <c r="AF1573" s="3" t="s">
        <v>0</v>
      </c>
      <c r="AG1573" s="3" t="s">
        <v>49</v>
      </c>
    </row>
    <row r="1574" spans="1:33" ht="38.25" x14ac:dyDescent="0.2">
      <c r="A1574" s="4" t="str">
        <f>HYPERLINK("http://www.patentics.cn/invokexml.do?sf=ShowPatent&amp;spn=CN102858005&amp;sv=47bbfc97e170592bc5939611e59178b4","CN102858005")</f>
        <v>CN102858005</v>
      </c>
      <c r="B1574" s="2" t="s">
        <v>7196</v>
      </c>
      <c r="C1574" s="2" t="s">
        <v>7197</v>
      </c>
      <c r="D1574" s="2" t="s">
        <v>38</v>
      </c>
      <c r="E1574" s="2" t="s">
        <v>38</v>
      </c>
      <c r="F1574" s="2" t="s">
        <v>7198</v>
      </c>
      <c r="G1574" s="2" t="s">
        <v>7199</v>
      </c>
      <c r="H1574" s="2" t="s">
        <v>0</v>
      </c>
      <c r="I1574" s="2" t="s">
        <v>6680</v>
      </c>
      <c r="J1574" s="2" t="s">
        <v>7200</v>
      </c>
      <c r="K1574" s="2" t="s">
        <v>82</v>
      </c>
      <c r="L1574" s="2" t="s">
        <v>7201</v>
      </c>
      <c r="M1574" s="2" t="s">
        <v>0</v>
      </c>
      <c r="N1574" s="2" t="s">
        <v>0</v>
      </c>
      <c r="O1574" s="2">
        <v>25</v>
      </c>
      <c r="P1574" s="2">
        <v>19</v>
      </c>
      <c r="Q1574" s="2" t="s">
        <v>46</v>
      </c>
      <c r="R1574" s="2" t="s">
        <v>47</v>
      </c>
      <c r="S1574" s="2">
        <v>0</v>
      </c>
      <c r="T1574" s="2">
        <v>0</v>
      </c>
      <c r="U1574" s="2">
        <v>0</v>
      </c>
      <c r="V1574" s="2">
        <v>0</v>
      </c>
      <c r="W1574" s="2">
        <v>2</v>
      </c>
      <c r="X1574" s="2" t="s">
        <v>7116</v>
      </c>
      <c r="Y1574" s="2">
        <v>0</v>
      </c>
      <c r="Z1574" s="2">
        <v>2</v>
      </c>
      <c r="AA1574" s="2">
        <v>2</v>
      </c>
      <c r="AB1574" s="2">
        <v>1</v>
      </c>
      <c r="AC1574" s="2">
        <v>0</v>
      </c>
      <c r="AD1574" s="2">
        <v>0</v>
      </c>
      <c r="AE1574" s="2" t="s">
        <v>0</v>
      </c>
      <c r="AF1574" s="2">
        <v>1</v>
      </c>
      <c r="AG1574" s="2" t="s">
        <v>2231</v>
      </c>
    </row>
    <row r="1575" spans="1:33" ht="63.75" x14ac:dyDescent="0.2">
      <c r="A1575" s="5" t="str">
        <f>HYPERLINK("http://www.patentics.cn/invokexml.do?sf=ShowPatent&amp;spn=WO2015196439&amp;sv=19b1dbe5784ea1a6fe9b725e925cf792","WO2015196439")</f>
        <v>WO2015196439</v>
      </c>
      <c r="B1575" s="3" t="s">
        <v>7202</v>
      </c>
      <c r="C1575" s="3" t="s">
        <v>7203</v>
      </c>
      <c r="D1575" s="3" t="s">
        <v>7204</v>
      </c>
      <c r="E1575" s="3" t="s">
        <v>7205</v>
      </c>
      <c r="F1575" s="3" t="s">
        <v>7206</v>
      </c>
      <c r="G1575" s="3" t="s">
        <v>7207</v>
      </c>
      <c r="H1575" s="3" t="s">
        <v>6355</v>
      </c>
      <c r="I1575" s="3" t="s">
        <v>6355</v>
      </c>
      <c r="J1575" s="3" t="s">
        <v>6357</v>
      </c>
      <c r="K1575" s="3" t="s">
        <v>82</v>
      </c>
      <c r="L1575" s="3" t="s">
        <v>7201</v>
      </c>
      <c r="M1575" s="3" t="s">
        <v>0</v>
      </c>
      <c r="N1575" s="3" t="s">
        <v>0</v>
      </c>
      <c r="O1575" s="3">
        <v>7</v>
      </c>
      <c r="P1575" s="3">
        <v>9</v>
      </c>
      <c r="Q1575" s="3" t="s">
        <v>352</v>
      </c>
      <c r="R1575" s="3" t="s">
        <v>47</v>
      </c>
      <c r="S1575" s="3">
        <v>4</v>
      </c>
      <c r="T1575" s="3">
        <v>1</v>
      </c>
      <c r="U1575" s="3">
        <v>3</v>
      </c>
      <c r="V1575" s="3">
        <v>4</v>
      </c>
      <c r="W1575" s="3">
        <v>0</v>
      </c>
      <c r="X1575" s="3" t="s">
        <v>147</v>
      </c>
      <c r="Y1575" s="3">
        <v>0</v>
      </c>
      <c r="Z1575" s="3">
        <v>0</v>
      </c>
      <c r="AA1575" s="3">
        <v>0</v>
      </c>
      <c r="AB1575" s="3">
        <v>0</v>
      </c>
      <c r="AC1575" s="3">
        <v>1</v>
      </c>
      <c r="AD1575" s="3">
        <v>2</v>
      </c>
      <c r="AE1575" s="3">
        <v>14</v>
      </c>
      <c r="AF1575" s="3" t="s">
        <v>0</v>
      </c>
      <c r="AG1575" s="3" t="s">
        <v>0</v>
      </c>
    </row>
    <row r="1576" spans="1:33" ht="38.25" x14ac:dyDescent="0.2">
      <c r="A1576" s="4" t="str">
        <f>HYPERLINK("http://www.patentics.cn/invokexml.do?sf=ShowPatent&amp;spn=CN102781039&amp;sv=925548bfca684c743771231518ebfa97","CN102781039")</f>
        <v>CN102781039</v>
      </c>
      <c r="B1576" s="2" t="s">
        <v>7208</v>
      </c>
      <c r="C1576" s="2" t="s">
        <v>7209</v>
      </c>
      <c r="D1576" s="2" t="s">
        <v>38</v>
      </c>
      <c r="E1576" s="2" t="s">
        <v>38</v>
      </c>
      <c r="F1576" s="2" t="s">
        <v>7210</v>
      </c>
      <c r="G1576" s="2" t="s">
        <v>7211</v>
      </c>
      <c r="H1576" s="2" t="s">
        <v>6116</v>
      </c>
      <c r="I1576" s="2" t="s">
        <v>6116</v>
      </c>
      <c r="J1576" s="2" t="s">
        <v>4971</v>
      </c>
      <c r="K1576" s="2" t="s">
        <v>82</v>
      </c>
      <c r="L1576" s="2" t="s">
        <v>1177</v>
      </c>
      <c r="M1576" s="2" t="s">
        <v>0</v>
      </c>
      <c r="N1576" s="2" t="s">
        <v>0</v>
      </c>
      <c r="O1576" s="2">
        <v>16</v>
      </c>
      <c r="P1576" s="2">
        <v>15</v>
      </c>
      <c r="Q1576" s="2" t="s">
        <v>46</v>
      </c>
      <c r="R1576" s="2" t="s">
        <v>47</v>
      </c>
      <c r="S1576" s="2">
        <v>0</v>
      </c>
      <c r="T1576" s="2">
        <v>0</v>
      </c>
      <c r="U1576" s="2">
        <v>0</v>
      </c>
      <c r="V1576" s="2">
        <v>0</v>
      </c>
      <c r="W1576" s="2">
        <v>1</v>
      </c>
      <c r="X1576" s="2" t="s">
        <v>1206</v>
      </c>
      <c r="Y1576" s="2">
        <v>0</v>
      </c>
      <c r="Z1576" s="2">
        <v>1</v>
      </c>
      <c r="AA1576" s="2">
        <v>1</v>
      </c>
      <c r="AB1576" s="2">
        <v>1</v>
      </c>
      <c r="AC1576" s="2">
        <v>1</v>
      </c>
      <c r="AD1576" s="2">
        <v>2</v>
      </c>
      <c r="AE1576" s="2" t="s">
        <v>0</v>
      </c>
      <c r="AF1576" s="2">
        <v>1</v>
      </c>
      <c r="AG1576" s="2" t="s">
        <v>49</v>
      </c>
    </row>
    <row r="1577" spans="1:33" ht="51" x14ac:dyDescent="0.2">
      <c r="A1577" s="5" t="str">
        <f>HYPERLINK("http://www.patentics.cn/invokexml.do?sf=ShowPatent&amp;spn=WO2015100683&amp;sv=1b4b71dbfe7145d263d5170195178fac","WO2015100683")</f>
        <v>WO2015100683</v>
      </c>
      <c r="B1577" s="3" t="s">
        <v>7212</v>
      </c>
      <c r="C1577" s="3" t="s">
        <v>7213</v>
      </c>
      <c r="D1577" s="3" t="s">
        <v>7214</v>
      </c>
      <c r="E1577" s="3" t="s">
        <v>7215</v>
      </c>
      <c r="F1577" s="3" t="s">
        <v>7216</v>
      </c>
      <c r="G1577" s="3" t="s">
        <v>7217</v>
      </c>
      <c r="H1577" s="3" t="s">
        <v>3403</v>
      </c>
      <c r="I1577" s="3" t="s">
        <v>3403</v>
      </c>
      <c r="J1577" s="3" t="s">
        <v>7218</v>
      </c>
      <c r="K1577" s="3" t="s">
        <v>82</v>
      </c>
      <c r="L1577" s="3" t="s">
        <v>7219</v>
      </c>
      <c r="M1577" s="3" t="s">
        <v>0</v>
      </c>
      <c r="N1577" s="3" t="s">
        <v>0</v>
      </c>
      <c r="O1577" s="3">
        <v>30</v>
      </c>
      <c r="P1577" s="3">
        <v>14</v>
      </c>
      <c r="Q1577" s="3" t="s">
        <v>352</v>
      </c>
      <c r="R1577" s="3" t="s">
        <v>47</v>
      </c>
      <c r="S1577" s="3">
        <v>3</v>
      </c>
      <c r="T1577" s="3">
        <v>1</v>
      </c>
      <c r="U1577" s="3">
        <v>2</v>
      </c>
      <c r="V1577" s="3">
        <v>3</v>
      </c>
      <c r="W1577" s="3">
        <v>0</v>
      </c>
      <c r="X1577" s="3" t="s">
        <v>147</v>
      </c>
      <c r="Y1577" s="3">
        <v>0</v>
      </c>
      <c r="Z1577" s="3">
        <v>0</v>
      </c>
      <c r="AA1577" s="3">
        <v>0</v>
      </c>
      <c r="AB1577" s="3">
        <v>0</v>
      </c>
      <c r="AC1577" s="3">
        <v>4</v>
      </c>
      <c r="AD1577" s="3">
        <v>5</v>
      </c>
      <c r="AE1577" s="3">
        <v>14</v>
      </c>
      <c r="AF1577" s="3" t="s">
        <v>0</v>
      </c>
      <c r="AG1577" s="3" t="s">
        <v>0</v>
      </c>
    </row>
    <row r="1578" spans="1:33" ht="25.5" x14ac:dyDescent="0.2">
      <c r="A1578" s="4" t="str">
        <f>HYPERLINK("http://www.patentics.cn/invokexml.do?sf=ShowPatent&amp;spn=CN102740233&amp;sv=6de30d4548f8e0835734d2564fd7fdec","CN102740233")</f>
        <v>CN102740233</v>
      </c>
      <c r="B1578" s="2" t="s">
        <v>7220</v>
      </c>
      <c r="C1578" s="2" t="s">
        <v>7221</v>
      </c>
      <c r="D1578" s="2" t="s">
        <v>38</v>
      </c>
      <c r="E1578" s="2" t="s">
        <v>38</v>
      </c>
      <c r="F1578" s="2" t="s">
        <v>7222</v>
      </c>
      <c r="G1578" s="2" t="s">
        <v>7223</v>
      </c>
      <c r="H1578" s="2" t="s">
        <v>957</v>
      </c>
      <c r="I1578" s="2" t="s">
        <v>957</v>
      </c>
      <c r="J1578" s="2" t="s">
        <v>342</v>
      </c>
      <c r="K1578" s="2" t="s">
        <v>82</v>
      </c>
      <c r="L1578" s="2" t="s">
        <v>1767</v>
      </c>
      <c r="M1578" s="2" t="s">
        <v>0</v>
      </c>
      <c r="N1578" s="2" t="s">
        <v>0</v>
      </c>
      <c r="O1578" s="2">
        <v>19</v>
      </c>
      <c r="P1578" s="2">
        <v>16</v>
      </c>
      <c r="Q1578" s="2" t="s">
        <v>46</v>
      </c>
      <c r="R1578" s="2" t="s">
        <v>47</v>
      </c>
      <c r="S1578" s="2">
        <v>0</v>
      </c>
      <c r="T1578" s="2">
        <v>0</v>
      </c>
      <c r="U1578" s="2">
        <v>0</v>
      </c>
      <c r="V1578" s="2">
        <v>0</v>
      </c>
      <c r="W1578" s="2">
        <v>2</v>
      </c>
      <c r="X1578" s="2" t="s">
        <v>7224</v>
      </c>
      <c r="Y1578" s="2">
        <v>0</v>
      </c>
      <c r="Z1578" s="2">
        <v>2</v>
      </c>
      <c r="AA1578" s="2">
        <v>2</v>
      </c>
      <c r="AB1578" s="2">
        <v>1</v>
      </c>
      <c r="AC1578" s="2">
        <v>4</v>
      </c>
      <c r="AD1578" s="2">
        <v>4</v>
      </c>
      <c r="AE1578" s="2" t="s">
        <v>0</v>
      </c>
      <c r="AF1578" s="2">
        <v>1</v>
      </c>
      <c r="AG1578" s="2" t="s">
        <v>2231</v>
      </c>
    </row>
    <row r="1579" spans="1:33" ht="51" x14ac:dyDescent="0.2">
      <c r="A1579" s="5" t="str">
        <f>HYPERLINK("http://www.patentics.cn/invokexml.do?sf=ShowPatent&amp;spn=WO2015062443&amp;sv=41e8b1c3af0fa04cdfb18e868cd747cf","WO2015062443")</f>
        <v>WO2015062443</v>
      </c>
      <c r="B1579" s="3" t="s">
        <v>7225</v>
      </c>
      <c r="C1579" s="3" t="s">
        <v>7226</v>
      </c>
      <c r="D1579" s="3" t="s">
        <v>7227</v>
      </c>
      <c r="E1579" s="3" t="s">
        <v>7228</v>
      </c>
      <c r="F1579" s="3" t="s">
        <v>7229</v>
      </c>
      <c r="G1579" s="3" t="s">
        <v>5659</v>
      </c>
      <c r="H1579" s="3" t="s">
        <v>7230</v>
      </c>
      <c r="I1579" s="3" t="s">
        <v>7055</v>
      </c>
      <c r="J1579" s="3" t="s">
        <v>7231</v>
      </c>
      <c r="K1579" s="3" t="s">
        <v>82</v>
      </c>
      <c r="L1579" s="3" t="s">
        <v>1767</v>
      </c>
      <c r="M1579" s="3" t="s">
        <v>0</v>
      </c>
      <c r="N1579" s="3" t="s">
        <v>0</v>
      </c>
      <c r="O1579" s="3">
        <v>0</v>
      </c>
      <c r="P1579" s="3">
        <v>0</v>
      </c>
      <c r="Q1579" s="3" t="s">
        <v>352</v>
      </c>
      <c r="R1579" s="3" t="s">
        <v>47</v>
      </c>
      <c r="S1579" s="3">
        <v>3</v>
      </c>
      <c r="T1579" s="3">
        <v>0</v>
      </c>
      <c r="U1579" s="3">
        <v>3</v>
      </c>
      <c r="V1579" s="3">
        <v>2</v>
      </c>
      <c r="W1579" s="3">
        <v>0</v>
      </c>
      <c r="X1579" s="3" t="s">
        <v>147</v>
      </c>
      <c r="Y1579" s="3">
        <v>0</v>
      </c>
      <c r="Z1579" s="3">
        <v>0</v>
      </c>
      <c r="AA1579" s="3">
        <v>0</v>
      </c>
      <c r="AB1579" s="3">
        <v>0</v>
      </c>
      <c r="AC1579" s="3">
        <v>5</v>
      </c>
      <c r="AD1579" s="3">
        <v>5</v>
      </c>
      <c r="AE1579" s="3">
        <v>14</v>
      </c>
      <c r="AF1579" s="3" t="s">
        <v>0</v>
      </c>
      <c r="AG1579" s="3" t="s">
        <v>0</v>
      </c>
    </row>
    <row r="1580" spans="1:33" ht="51" x14ac:dyDescent="0.2">
      <c r="A1580" s="4" t="str">
        <f>HYPERLINK("http://www.patentics.cn/invokexml.do?sf=ShowPatent&amp;spn=CN102685684&amp;sv=9e61cbd4e9f02984644c8d5a25b08c45","CN102685684")</f>
        <v>CN102685684</v>
      </c>
      <c r="B1580" s="2" t="s">
        <v>7232</v>
      </c>
      <c r="C1580" s="2" t="s">
        <v>7233</v>
      </c>
      <c r="D1580" s="2" t="s">
        <v>38</v>
      </c>
      <c r="E1580" s="2" t="s">
        <v>38</v>
      </c>
      <c r="F1580" s="2" t="s">
        <v>7234</v>
      </c>
      <c r="G1580" s="2" t="s">
        <v>7235</v>
      </c>
      <c r="H1580" s="2" t="s">
        <v>4491</v>
      </c>
      <c r="I1580" s="2" t="s">
        <v>6648</v>
      </c>
      <c r="J1580" s="2" t="s">
        <v>7029</v>
      </c>
      <c r="K1580" s="2" t="s">
        <v>82</v>
      </c>
      <c r="L1580" s="2" t="s">
        <v>1767</v>
      </c>
      <c r="M1580" s="2" t="s">
        <v>0</v>
      </c>
      <c r="N1580" s="2" t="s">
        <v>0</v>
      </c>
      <c r="O1580" s="2">
        <v>18</v>
      </c>
      <c r="P1580" s="2">
        <v>19</v>
      </c>
      <c r="Q1580" s="2" t="s">
        <v>46</v>
      </c>
      <c r="R1580" s="2" t="s">
        <v>47</v>
      </c>
      <c r="S1580" s="2">
        <v>0</v>
      </c>
      <c r="T1580" s="2">
        <v>0</v>
      </c>
      <c r="U1580" s="2">
        <v>0</v>
      </c>
      <c r="V1580" s="2">
        <v>0</v>
      </c>
      <c r="W1580" s="2">
        <v>3</v>
      </c>
      <c r="X1580" s="2" t="s">
        <v>7236</v>
      </c>
      <c r="Y1580" s="2">
        <v>1</v>
      </c>
      <c r="Z1580" s="2">
        <v>2</v>
      </c>
      <c r="AA1580" s="2">
        <v>3</v>
      </c>
      <c r="AB1580" s="2">
        <v>2</v>
      </c>
      <c r="AC1580" s="2">
        <v>0</v>
      </c>
      <c r="AD1580" s="2">
        <v>0</v>
      </c>
      <c r="AE1580" s="2" t="s">
        <v>0</v>
      </c>
      <c r="AF1580" s="2">
        <v>1</v>
      </c>
      <c r="AG1580" s="2" t="s">
        <v>2231</v>
      </c>
    </row>
    <row r="1581" spans="1:33" ht="51" x14ac:dyDescent="0.2">
      <c r="A1581" s="5" t="str">
        <f>HYPERLINK("http://www.patentics.cn/invokexml.do?sf=ShowPatent&amp;spn=WO2015062443&amp;sv=41e8b1c3af0fa04cdfb18e868cd747cf","WO2015062443")</f>
        <v>WO2015062443</v>
      </c>
      <c r="B1581" s="3" t="s">
        <v>7225</v>
      </c>
      <c r="C1581" s="3" t="s">
        <v>7226</v>
      </c>
      <c r="D1581" s="3" t="s">
        <v>7227</v>
      </c>
      <c r="E1581" s="3" t="s">
        <v>7228</v>
      </c>
      <c r="F1581" s="3" t="s">
        <v>7229</v>
      </c>
      <c r="G1581" s="3" t="s">
        <v>5659</v>
      </c>
      <c r="H1581" s="3" t="s">
        <v>7230</v>
      </c>
      <c r="I1581" s="3" t="s">
        <v>7055</v>
      </c>
      <c r="J1581" s="3" t="s">
        <v>7231</v>
      </c>
      <c r="K1581" s="3" t="s">
        <v>82</v>
      </c>
      <c r="L1581" s="3" t="s">
        <v>1767</v>
      </c>
      <c r="M1581" s="3" t="s">
        <v>0</v>
      </c>
      <c r="N1581" s="3" t="s">
        <v>0</v>
      </c>
      <c r="O1581" s="3">
        <v>0</v>
      </c>
      <c r="P1581" s="3">
        <v>0</v>
      </c>
      <c r="Q1581" s="3" t="s">
        <v>352</v>
      </c>
      <c r="R1581" s="3" t="s">
        <v>47</v>
      </c>
      <c r="S1581" s="3">
        <v>3</v>
      </c>
      <c r="T1581" s="3">
        <v>0</v>
      </c>
      <c r="U1581" s="3">
        <v>3</v>
      </c>
      <c r="V1581" s="3">
        <v>2</v>
      </c>
      <c r="W1581" s="3">
        <v>0</v>
      </c>
      <c r="X1581" s="3" t="s">
        <v>147</v>
      </c>
      <c r="Y1581" s="3">
        <v>0</v>
      </c>
      <c r="Z1581" s="3">
        <v>0</v>
      </c>
      <c r="AA1581" s="3">
        <v>0</v>
      </c>
      <c r="AB1581" s="3">
        <v>0</v>
      </c>
      <c r="AC1581" s="3">
        <v>5</v>
      </c>
      <c r="AD1581" s="3">
        <v>5</v>
      </c>
      <c r="AE1581" s="3">
        <v>14</v>
      </c>
      <c r="AF1581" s="3" t="s">
        <v>0</v>
      </c>
      <c r="AG1581" s="3" t="s">
        <v>0</v>
      </c>
    </row>
    <row r="1582" spans="1:33" x14ac:dyDescent="0.2">
      <c r="A1582" s="4" t="str">
        <f>HYPERLINK("http://www.patentics.cn/invokexml.do?sf=ShowPatent&amp;spn=CN102685715&amp;sv=5adf11235f80b744b06be94fc1978e72","CN102685715")</f>
        <v>CN102685715</v>
      </c>
      <c r="B1582" s="2" t="s">
        <v>7237</v>
      </c>
      <c r="C1582" s="2" t="s">
        <v>7238</v>
      </c>
      <c r="D1582" s="2" t="s">
        <v>38</v>
      </c>
      <c r="E1582" s="2" t="s">
        <v>38</v>
      </c>
      <c r="F1582" s="2" t="s">
        <v>7239</v>
      </c>
      <c r="G1582" s="2" t="s">
        <v>7239</v>
      </c>
      <c r="H1582" s="2" t="s">
        <v>0</v>
      </c>
      <c r="I1582" s="2" t="s">
        <v>4491</v>
      </c>
      <c r="J1582" s="2" t="s">
        <v>7029</v>
      </c>
      <c r="K1582" s="2" t="s">
        <v>82</v>
      </c>
      <c r="L1582" s="2" t="s">
        <v>1405</v>
      </c>
      <c r="M1582" s="2" t="s">
        <v>0</v>
      </c>
      <c r="N1582" s="2" t="s">
        <v>0</v>
      </c>
      <c r="O1582" s="2">
        <v>10</v>
      </c>
      <c r="P1582" s="2">
        <v>14</v>
      </c>
      <c r="Q1582" s="2" t="s">
        <v>46</v>
      </c>
      <c r="R1582" s="2" t="s">
        <v>47</v>
      </c>
      <c r="S1582" s="2">
        <v>0</v>
      </c>
      <c r="T1582" s="2">
        <v>0</v>
      </c>
      <c r="U1582" s="2">
        <v>0</v>
      </c>
      <c r="V1582" s="2">
        <v>0</v>
      </c>
      <c r="W1582" s="2">
        <v>1</v>
      </c>
      <c r="X1582" s="2" t="s">
        <v>1206</v>
      </c>
      <c r="Y1582" s="2">
        <v>0</v>
      </c>
      <c r="Z1582" s="2">
        <v>1</v>
      </c>
      <c r="AA1582" s="2">
        <v>1</v>
      </c>
      <c r="AB1582" s="2">
        <v>1</v>
      </c>
      <c r="AC1582" s="2">
        <v>0</v>
      </c>
      <c r="AD1582" s="2">
        <v>0</v>
      </c>
      <c r="AE1582" s="2" t="s">
        <v>0</v>
      </c>
      <c r="AF1582" s="2">
        <v>1</v>
      </c>
      <c r="AG1582" s="2" t="s">
        <v>2231</v>
      </c>
    </row>
    <row r="1583" spans="1:33" ht="51" x14ac:dyDescent="0.2">
      <c r="A1583" s="5" t="str">
        <f>HYPERLINK("http://www.patentics.cn/invokexml.do?sf=ShowPatent&amp;spn=WO2014183279&amp;sv=19234d38b5011023cf6803d96b41d343","WO2014183279")</f>
        <v>WO2014183279</v>
      </c>
      <c r="B1583" s="3" t="s">
        <v>7240</v>
      </c>
      <c r="C1583" s="3" t="s">
        <v>7241</v>
      </c>
      <c r="D1583" s="3" t="s">
        <v>7227</v>
      </c>
      <c r="E1583" s="3" t="s">
        <v>7228</v>
      </c>
      <c r="F1583" s="3" t="s">
        <v>7229</v>
      </c>
      <c r="G1583" s="3" t="s">
        <v>5659</v>
      </c>
      <c r="H1583" s="3" t="s">
        <v>2828</v>
      </c>
      <c r="I1583" s="3" t="s">
        <v>2828</v>
      </c>
      <c r="J1583" s="3" t="s">
        <v>1676</v>
      </c>
      <c r="K1583" s="3" t="s">
        <v>82</v>
      </c>
      <c r="L1583" s="3" t="s">
        <v>1749</v>
      </c>
      <c r="M1583" s="3" t="s">
        <v>0</v>
      </c>
      <c r="N1583" s="3" t="s">
        <v>0</v>
      </c>
      <c r="O1583" s="3">
        <v>92</v>
      </c>
      <c r="P1583" s="3">
        <v>11</v>
      </c>
      <c r="Q1583" s="3" t="s">
        <v>352</v>
      </c>
      <c r="R1583" s="3" t="s">
        <v>47</v>
      </c>
      <c r="S1583" s="3">
        <v>3</v>
      </c>
      <c r="T1583" s="3">
        <v>0</v>
      </c>
      <c r="U1583" s="3">
        <v>3</v>
      </c>
      <c r="V1583" s="3">
        <v>3</v>
      </c>
      <c r="W1583" s="3">
        <v>0</v>
      </c>
      <c r="X1583" s="3" t="s">
        <v>147</v>
      </c>
      <c r="Y1583" s="3">
        <v>0</v>
      </c>
      <c r="Z1583" s="3">
        <v>0</v>
      </c>
      <c r="AA1583" s="3">
        <v>0</v>
      </c>
      <c r="AB1583" s="3">
        <v>0</v>
      </c>
      <c r="AC1583" s="3">
        <v>3</v>
      </c>
      <c r="AD1583" s="3">
        <v>4</v>
      </c>
      <c r="AE1583" s="3">
        <v>14</v>
      </c>
      <c r="AF1583" s="3" t="s">
        <v>0</v>
      </c>
      <c r="AG1583" s="3" t="s">
        <v>0</v>
      </c>
    </row>
    <row r="1584" spans="1:33" ht="38.25" x14ac:dyDescent="0.2">
      <c r="A1584" s="4" t="str">
        <f>HYPERLINK("http://www.patentics.cn/invokexml.do?sf=ShowPatent&amp;spn=CN102611994&amp;sv=9262bd3cb4b75a010f20a32a615d0960","CN102611994")</f>
        <v>CN102611994</v>
      </c>
      <c r="B1584" s="2" t="s">
        <v>7242</v>
      </c>
      <c r="C1584" s="2" t="s">
        <v>7243</v>
      </c>
      <c r="D1584" s="2" t="s">
        <v>38</v>
      </c>
      <c r="E1584" s="2" t="s">
        <v>38</v>
      </c>
      <c r="F1584" s="2" t="s">
        <v>7244</v>
      </c>
      <c r="G1584" s="2" t="s">
        <v>7245</v>
      </c>
      <c r="H1584" s="2" t="s">
        <v>0</v>
      </c>
      <c r="I1584" s="2" t="s">
        <v>7246</v>
      </c>
      <c r="J1584" s="2" t="s">
        <v>4576</v>
      </c>
      <c r="K1584" s="2" t="s">
        <v>82</v>
      </c>
      <c r="L1584" s="2" t="s">
        <v>1767</v>
      </c>
      <c r="M1584" s="2" t="s">
        <v>0</v>
      </c>
      <c r="N1584" s="2" t="s">
        <v>0</v>
      </c>
      <c r="O1584" s="2">
        <v>12</v>
      </c>
      <c r="P1584" s="2">
        <v>22</v>
      </c>
      <c r="Q1584" s="2" t="s">
        <v>46</v>
      </c>
      <c r="R1584" s="2" t="s">
        <v>47</v>
      </c>
      <c r="S1584" s="2">
        <v>0</v>
      </c>
      <c r="T1584" s="2">
        <v>0</v>
      </c>
      <c r="U1584" s="2">
        <v>0</v>
      </c>
      <c r="V1584" s="2">
        <v>0</v>
      </c>
      <c r="W1584" s="2">
        <v>1</v>
      </c>
      <c r="X1584" s="2" t="s">
        <v>7247</v>
      </c>
      <c r="Y1584" s="2">
        <v>0</v>
      </c>
      <c r="Z1584" s="2">
        <v>1</v>
      </c>
      <c r="AA1584" s="2">
        <v>1</v>
      </c>
      <c r="AB1584" s="2">
        <v>1</v>
      </c>
      <c r="AC1584" s="2">
        <v>0</v>
      </c>
      <c r="AD1584" s="2">
        <v>0</v>
      </c>
      <c r="AE1584" s="2" t="s">
        <v>0</v>
      </c>
      <c r="AF1584" s="2">
        <v>1</v>
      </c>
      <c r="AG1584" s="2" t="s">
        <v>49</v>
      </c>
    </row>
    <row r="1585" spans="1:33" ht="51" x14ac:dyDescent="0.2">
      <c r="A1585" s="5" t="str">
        <f>HYPERLINK("http://www.patentics.cn/invokexml.do?sf=ShowPatent&amp;spn=WO2014161491&amp;sv=60bbf19a3f5819770cd309d0eba0cafb","WO2014161491")</f>
        <v>WO2014161491</v>
      </c>
      <c r="B1585" s="3" t="s">
        <v>7248</v>
      </c>
      <c r="C1585" s="3" t="s">
        <v>7249</v>
      </c>
      <c r="D1585" s="3" t="s">
        <v>7250</v>
      </c>
      <c r="E1585" s="3" t="s">
        <v>7251</v>
      </c>
      <c r="F1585" s="3" t="s">
        <v>7252</v>
      </c>
      <c r="G1585" s="3" t="s">
        <v>2761</v>
      </c>
      <c r="H1585" s="3" t="s">
        <v>504</v>
      </c>
      <c r="I1585" s="3" t="s">
        <v>7253</v>
      </c>
      <c r="J1585" s="3" t="s">
        <v>3344</v>
      </c>
      <c r="K1585" s="3" t="s">
        <v>82</v>
      </c>
      <c r="L1585" s="3" t="s">
        <v>1767</v>
      </c>
      <c r="M1585" s="3" t="s">
        <v>0</v>
      </c>
      <c r="N1585" s="3" t="s">
        <v>0</v>
      </c>
      <c r="O1585" s="3">
        <v>40</v>
      </c>
      <c r="P1585" s="3">
        <v>11</v>
      </c>
      <c r="Q1585" s="3" t="s">
        <v>352</v>
      </c>
      <c r="R1585" s="3" t="s">
        <v>47</v>
      </c>
      <c r="S1585" s="3">
        <v>1</v>
      </c>
      <c r="T1585" s="3">
        <v>0</v>
      </c>
      <c r="U1585" s="3">
        <v>1</v>
      </c>
      <c r="V1585" s="3">
        <v>1</v>
      </c>
      <c r="W1585" s="3">
        <v>0</v>
      </c>
      <c r="X1585" s="3" t="s">
        <v>147</v>
      </c>
      <c r="Y1585" s="3">
        <v>0</v>
      </c>
      <c r="Z1585" s="3">
        <v>0</v>
      </c>
      <c r="AA1585" s="3">
        <v>0</v>
      </c>
      <c r="AB1585" s="3">
        <v>0</v>
      </c>
      <c r="AC1585" s="3">
        <v>5</v>
      </c>
      <c r="AD1585" s="3">
        <v>5</v>
      </c>
      <c r="AE1585" s="3">
        <v>14</v>
      </c>
      <c r="AF1585" s="3" t="s">
        <v>0</v>
      </c>
      <c r="AG1585" s="3" t="s">
        <v>0</v>
      </c>
    </row>
    <row r="1586" spans="1:33" ht="38.25" x14ac:dyDescent="0.2">
      <c r="A1586" s="4" t="str">
        <f>HYPERLINK("http://www.patentics.cn/invokexml.do?sf=ShowPatent&amp;spn=CN102595330&amp;sv=78257a9014b8cd0985fd41bf4e62a897","CN102595330")</f>
        <v>CN102595330</v>
      </c>
      <c r="B1586" s="2" t="s">
        <v>7254</v>
      </c>
      <c r="C1586" s="2" t="s">
        <v>7255</v>
      </c>
      <c r="D1586" s="2" t="s">
        <v>38</v>
      </c>
      <c r="E1586" s="2" t="s">
        <v>38</v>
      </c>
      <c r="F1586" s="2" t="s">
        <v>7256</v>
      </c>
      <c r="G1586" s="2" t="s">
        <v>7245</v>
      </c>
      <c r="H1586" s="2" t="s">
        <v>0</v>
      </c>
      <c r="I1586" s="2" t="s">
        <v>7257</v>
      </c>
      <c r="J1586" s="2" t="s">
        <v>2673</v>
      </c>
      <c r="K1586" s="2" t="s">
        <v>82</v>
      </c>
      <c r="L1586" s="2" t="s">
        <v>1767</v>
      </c>
      <c r="M1586" s="2" t="s">
        <v>0</v>
      </c>
      <c r="N1586" s="2" t="s">
        <v>0</v>
      </c>
      <c r="O1586" s="2">
        <v>12</v>
      </c>
      <c r="P1586" s="2">
        <v>15</v>
      </c>
      <c r="Q1586" s="2" t="s">
        <v>46</v>
      </c>
      <c r="R1586" s="2" t="s">
        <v>47</v>
      </c>
      <c r="S1586" s="2">
        <v>0</v>
      </c>
      <c r="T1586" s="2">
        <v>0</v>
      </c>
      <c r="U1586" s="2">
        <v>0</v>
      </c>
      <c r="V1586" s="2">
        <v>0</v>
      </c>
      <c r="W1586" s="2">
        <v>1</v>
      </c>
      <c r="X1586" s="2" t="s">
        <v>1206</v>
      </c>
      <c r="Y1586" s="2">
        <v>0</v>
      </c>
      <c r="Z1586" s="2">
        <v>1</v>
      </c>
      <c r="AA1586" s="2">
        <v>1</v>
      </c>
      <c r="AB1586" s="2">
        <v>1</v>
      </c>
      <c r="AC1586" s="2">
        <v>0</v>
      </c>
      <c r="AD1586" s="2">
        <v>0</v>
      </c>
      <c r="AE1586" s="2" t="s">
        <v>0</v>
      </c>
      <c r="AF1586" s="2">
        <v>1</v>
      </c>
      <c r="AG1586" s="2" t="s">
        <v>2523</v>
      </c>
    </row>
    <row r="1587" spans="1:33" ht="51" x14ac:dyDescent="0.2">
      <c r="A1587" s="5" t="str">
        <f>HYPERLINK("http://www.patentics.cn/invokexml.do?sf=ShowPatent&amp;spn=WO2014161200&amp;sv=ed65dd0b9830e2ae00994dc373ff1326","WO2014161200")</f>
        <v>WO2014161200</v>
      </c>
      <c r="B1587" s="3" t="s">
        <v>7258</v>
      </c>
      <c r="C1587" s="3" t="s">
        <v>7259</v>
      </c>
      <c r="D1587" s="3" t="s">
        <v>7250</v>
      </c>
      <c r="E1587" s="3" t="s">
        <v>7251</v>
      </c>
      <c r="F1587" s="3" t="s">
        <v>7252</v>
      </c>
      <c r="G1587" s="3" t="s">
        <v>2761</v>
      </c>
      <c r="H1587" s="3" t="s">
        <v>504</v>
      </c>
      <c r="I1587" s="3" t="s">
        <v>504</v>
      </c>
      <c r="J1587" s="3" t="s">
        <v>3344</v>
      </c>
      <c r="K1587" s="3" t="s">
        <v>82</v>
      </c>
      <c r="L1587" s="3" t="s">
        <v>1310</v>
      </c>
      <c r="M1587" s="3" t="s">
        <v>0</v>
      </c>
      <c r="N1587" s="3" t="s">
        <v>0</v>
      </c>
      <c r="O1587" s="3">
        <v>40</v>
      </c>
      <c r="P1587" s="3">
        <v>11</v>
      </c>
      <c r="Q1587" s="3" t="s">
        <v>352</v>
      </c>
      <c r="R1587" s="3" t="s">
        <v>47</v>
      </c>
      <c r="S1587" s="3">
        <v>3</v>
      </c>
      <c r="T1587" s="3">
        <v>0</v>
      </c>
      <c r="U1587" s="3">
        <v>3</v>
      </c>
      <c r="V1587" s="3">
        <v>1</v>
      </c>
      <c r="W1587" s="3">
        <v>0</v>
      </c>
      <c r="X1587" s="3" t="s">
        <v>147</v>
      </c>
      <c r="Y1587" s="3">
        <v>0</v>
      </c>
      <c r="Z1587" s="3">
        <v>0</v>
      </c>
      <c r="AA1587" s="3">
        <v>0</v>
      </c>
      <c r="AB1587" s="3">
        <v>0</v>
      </c>
      <c r="AC1587" s="3">
        <v>5</v>
      </c>
      <c r="AD1587" s="3">
        <v>5</v>
      </c>
      <c r="AE1587" s="3">
        <v>14</v>
      </c>
      <c r="AF1587" s="3" t="s">
        <v>0</v>
      </c>
      <c r="AG1587" s="3" t="s">
        <v>0</v>
      </c>
    </row>
    <row r="1588" spans="1:33" x14ac:dyDescent="0.2">
      <c r="A1588" s="4" t="str">
        <f>HYPERLINK("http://www.patentics.cn/invokexml.do?sf=ShowPatent&amp;spn=CN102594438&amp;sv=adfab4c5aabe27971105c983650a1275","CN102594438")</f>
        <v>CN102594438</v>
      </c>
      <c r="B1588" s="2" t="s">
        <v>7260</v>
      </c>
      <c r="C1588" s="2" t="s">
        <v>7261</v>
      </c>
      <c r="D1588" s="2" t="s">
        <v>38</v>
      </c>
      <c r="E1588" s="2" t="s">
        <v>38</v>
      </c>
      <c r="F1588" s="2" t="s">
        <v>7262</v>
      </c>
      <c r="G1588" s="2" t="s">
        <v>7262</v>
      </c>
      <c r="H1588" s="2" t="s">
        <v>6513</v>
      </c>
      <c r="I1588" s="2" t="s">
        <v>6513</v>
      </c>
      <c r="J1588" s="2" t="s">
        <v>2673</v>
      </c>
      <c r="K1588" s="2" t="s">
        <v>84</v>
      </c>
      <c r="L1588" s="2" t="s">
        <v>1922</v>
      </c>
      <c r="M1588" s="2" t="s">
        <v>0</v>
      </c>
      <c r="N1588" s="2" t="s">
        <v>0</v>
      </c>
      <c r="O1588" s="2">
        <v>22</v>
      </c>
      <c r="P1588" s="2">
        <v>19</v>
      </c>
      <c r="Q1588" s="2" t="s">
        <v>46</v>
      </c>
      <c r="R1588" s="2" t="s">
        <v>47</v>
      </c>
      <c r="S1588" s="2">
        <v>0</v>
      </c>
      <c r="T1588" s="2">
        <v>0</v>
      </c>
      <c r="U1588" s="2">
        <v>0</v>
      </c>
      <c r="V1588" s="2">
        <v>0</v>
      </c>
      <c r="W1588" s="2">
        <v>5</v>
      </c>
      <c r="X1588" s="2" t="s">
        <v>460</v>
      </c>
      <c r="Y1588" s="2">
        <v>1</v>
      </c>
      <c r="Z1588" s="2">
        <v>4</v>
      </c>
      <c r="AA1588" s="2">
        <v>5</v>
      </c>
      <c r="AB1588" s="2">
        <v>1</v>
      </c>
      <c r="AC1588" s="2">
        <v>1</v>
      </c>
      <c r="AD1588" s="2">
        <v>2</v>
      </c>
      <c r="AE1588" s="2" t="s">
        <v>0</v>
      </c>
      <c r="AF1588" s="2">
        <v>1</v>
      </c>
      <c r="AG1588" s="2" t="s">
        <v>49</v>
      </c>
    </row>
    <row r="1589" spans="1:33" ht="89.25" x14ac:dyDescent="0.2">
      <c r="A1589" s="5" t="str">
        <f>HYPERLINK("http://www.patentics.cn/invokexml.do?sf=ShowPatent&amp;spn=WO2015013862&amp;sv=f9303928ac5c861182f578b8492589ed","WO2015013862")</f>
        <v>WO2015013862</v>
      </c>
      <c r="B1589" s="3" t="s">
        <v>7263</v>
      </c>
      <c r="C1589" s="3" t="s">
        <v>7264</v>
      </c>
      <c r="D1589" s="3" t="s">
        <v>7265</v>
      </c>
      <c r="E1589" s="3" t="s">
        <v>7266</v>
      </c>
      <c r="F1589" s="3" t="s">
        <v>7267</v>
      </c>
      <c r="G1589" s="3" t="s">
        <v>4607</v>
      </c>
      <c r="H1589" s="3" t="s">
        <v>4657</v>
      </c>
      <c r="I1589" s="3" t="s">
        <v>4657</v>
      </c>
      <c r="J1589" s="3" t="s">
        <v>2287</v>
      </c>
      <c r="K1589" s="3" t="s">
        <v>82</v>
      </c>
      <c r="L1589" s="3" t="s">
        <v>244</v>
      </c>
      <c r="M1589" s="3" t="s">
        <v>0</v>
      </c>
      <c r="N1589" s="3" t="s">
        <v>0</v>
      </c>
      <c r="O1589" s="3">
        <v>55</v>
      </c>
      <c r="P1589" s="3">
        <v>8</v>
      </c>
      <c r="Q1589" s="3" t="s">
        <v>352</v>
      </c>
      <c r="R1589" s="3" t="s">
        <v>47</v>
      </c>
      <c r="S1589" s="3">
        <v>4</v>
      </c>
      <c r="T1589" s="3">
        <v>0</v>
      </c>
      <c r="U1589" s="3">
        <v>4</v>
      </c>
      <c r="V1589" s="3">
        <v>4</v>
      </c>
      <c r="W1589" s="3">
        <v>8</v>
      </c>
      <c r="X1589" s="3" t="s">
        <v>147</v>
      </c>
      <c r="Y1589" s="3">
        <v>0</v>
      </c>
      <c r="Z1589" s="3">
        <v>8</v>
      </c>
      <c r="AA1589" s="3">
        <v>0</v>
      </c>
      <c r="AB1589" s="3">
        <v>1</v>
      </c>
      <c r="AC1589" s="3">
        <v>10</v>
      </c>
      <c r="AD1589" s="3">
        <v>9</v>
      </c>
      <c r="AE1589" s="3">
        <v>14</v>
      </c>
      <c r="AF1589" s="3" t="s">
        <v>0</v>
      </c>
      <c r="AG1589" s="3" t="s">
        <v>0</v>
      </c>
    </row>
    <row r="1590" spans="1:33" ht="25.5" x14ac:dyDescent="0.2">
      <c r="A1590" s="4" t="str">
        <f>HYPERLINK("http://www.patentics.cn/invokexml.do?sf=ShowPatent&amp;spn=CN102448152&amp;sv=42837ff511667f65b142b7bfa87982af","CN102448152")</f>
        <v>CN102448152</v>
      </c>
      <c r="B1590" s="2" t="s">
        <v>7268</v>
      </c>
      <c r="C1590" s="2" t="s">
        <v>7269</v>
      </c>
      <c r="D1590" s="2" t="s">
        <v>38</v>
      </c>
      <c r="E1590" s="2" t="s">
        <v>38</v>
      </c>
      <c r="F1590" s="2" t="s">
        <v>7270</v>
      </c>
      <c r="G1590" s="2" t="s">
        <v>7271</v>
      </c>
      <c r="H1590" s="2" t="s">
        <v>0</v>
      </c>
      <c r="I1590" s="2" t="s">
        <v>951</v>
      </c>
      <c r="J1590" s="2" t="s">
        <v>5072</v>
      </c>
      <c r="K1590" s="2" t="s">
        <v>82</v>
      </c>
      <c r="L1590" s="2" t="s">
        <v>516</v>
      </c>
      <c r="M1590" s="2" t="s">
        <v>0</v>
      </c>
      <c r="N1590" s="2" t="s">
        <v>0</v>
      </c>
      <c r="O1590" s="2">
        <v>12</v>
      </c>
      <c r="P1590" s="2">
        <v>21</v>
      </c>
      <c r="Q1590" s="2" t="s">
        <v>46</v>
      </c>
      <c r="R1590" s="2" t="s">
        <v>47</v>
      </c>
      <c r="S1590" s="2">
        <v>0</v>
      </c>
      <c r="T1590" s="2">
        <v>0</v>
      </c>
      <c r="U1590" s="2">
        <v>0</v>
      </c>
      <c r="V1590" s="2">
        <v>0</v>
      </c>
      <c r="W1590" s="2">
        <v>2</v>
      </c>
      <c r="X1590" s="2" t="s">
        <v>6897</v>
      </c>
      <c r="Y1590" s="2">
        <v>0</v>
      </c>
      <c r="Z1590" s="2">
        <v>2</v>
      </c>
      <c r="AA1590" s="2">
        <v>2</v>
      </c>
      <c r="AB1590" s="2">
        <v>2</v>
      </c>
      <c r="AC1590" s="2">
        <v>0</v>
      </c>
      <c r="AD1590" s="2">
        <v>0</v>
      </c>
      <c r="AE1590" s="2" t="s">
        <v>0</v>
      </c>
      <c r="AF1590" s="2">
        <v>1</v>
      </c>
      <c r="AG1590" s="2" t="s">
        <v>547</v>
      </c>
    </row>
    <row r="1591" spans="1:33" ht="63.75" x14ac:dyDescent="0.2">
      <c r="A1591" s="5" t="str">
        <f>HYPERLINK("http://www.patentics.cn/invokexml.do?sf=ShowPatent&amp;spn=US9019895&amp;sv=f7972e5449c58c37cace97f2292a9af9","US9019895")</f>
        <v>US9019895</v>
      </c>
      <c r="B1591" s="3" t="s">
        <v>7272</v>
      </c>
      <c r="C1591" s="3" t="s">
        <v>7273</v>
      </c>
      <c r="D1591" s="3" t="s">
        <v>52</v>
      </c>
      <c r="E1591" s="3" t="s">
        <v>52</v>
      </c>
      <c r="F1591" s="3" t="s">
        <v>7274</v>
      </c>
      <c r="G1591" s="3" t="s">
        <v>790</v>
      </c>
      <c r="H1591" s="3" t="s">
        <v>3641</v>
      </c>
      <c r="I1591" s="3" t="s">
        <v>3641</v>
      </c>
      <c r="J1591" s="3" t="s">
        <v>2958</v>
      </c>
      <c r="K1591" s="3" t="s">
        <v>82</v>
      </c>
      <c r="L1591" s="3" t="s">
        <v>83</v>
      </c>
      <c r="M1591" s="3" t="s">
        <v>82</v>
      </c>
      <c r="N1591" s="3" t="s">
        <v>5267</v>
      </c>
      <c r="O1591" s="3">
        <v>0</v>
      </c>
      <c r="P1591" s="3">
        <v>9</v>
      </c>
      <c r="Q1591" s="3" t="s">
        <v>60</v>
      </c>
      <c r="R1591" s="3" t="s">
        <v>61</v>
      </c>
      <c r="S1591" s="3">
        <v>16</v>
      </c>
      <c r="T1591" s="3">
        <v>2</v>
      </c>
      <c r="U1591" s="3">
        <v>14</v>
      </c>
      <c r="V1591" s="3">
        <v>12</v>
      </c>
      <c r="W1591" s="3">
        <v>0</v>
      </c>
      <c r="X1591" s="3" t="s">
        <v>147</v>
      </c>
      <c r="Y1591" s="3">
        <v>0</v>
      </c>
      <c r="Z1591" s="3">
        <v>0</v>
      </c>
      <c r="AA1591" s="3">
        <v>0</v>
      </c>
      <c r="AB1591" s="3">
        <v>0</v>
      </c>
      <c r="AC1591" s="3">
        <v>5</v>
      </c>
      <c r="AD1591" s="3">
        <v>5</v>
      </c>
      <c r="AE1591" s="3">
        <v>14</v>
      </c>
      <c r="AF1591" s="3" t="s">
        <v>0</v>
      </c>
      <c r="AG1591" s="3" t="s">
        <v>49</v>
      </c>
    </row>
    <row r="1592" spans="1:33" ht="38.25" x14ac:dyDescent="0.2">
      <c r="A1592" s="4" t="str">
        <f>HYPERLINK("http://www.patentics.cn/invokexml.do?sf=ShowPatent&amp;spn=CN102394675&amp;sv=64ee0b333d6bd8949c0f4b00a7aceec8","CN102394675")</f>
        <v>CN102394675</v>
      </c>
      <c r="B1592" s="2" t="s">
        <v>7275</v>
      </c>
      <c r="C1592" s="2" t="s">
        <v>7276</v>
      </c>
      <c r="D1592" s="2" t="s">
        <v>38</v>
      </c>
      <c r="E1592" s="2" t="s">
        <v>38</v>
      </c>
      <c r="F1592" s="2" t="s">
        <v>7277</v>
      </c>
      <c r="G1592" s="2" t="s">
        <v>7278</v>
      </c>
      <c r="H1592" s="2" t="s">
        <v>2213</v>
      </c>
      <c r="I1592" s="2" t="s">
        <v>2213</v>
      </c>
      <c r="J1592" s="2" t="s">
        <v>7072</v>
      </c>
      <c r="K1592" s="2" t="s">
        <v>84</v>
      </c>
      <c r="L1592" s="2" t="s">
        <v>506</v>
      </c>
      <c r="M1592" s="2" t="s">
        <v>0</v>
      </c>
      <c r="N1592" s="2" t="s">
        <v>0</v>
      </c>
      <c r="O1592" s="2">
        <v>13</v>
      </c>
      <c r="P1592" s="2">
        <v>6</v>
      </c>
      <c r="Q1592" s="2" t="s">
        <v>46</v>
      </c>
      <c r="R1592" s="2" t="s">
        <v>47</v>
      </c>
      <c r="S1592" s="2">
        <v>0</v>
      </c>
      <c r="T1592" s="2">
        <v>0</v>
      </c>
      <c r="U1592" s="2">
        <v>0</v>
      </c>
      <c r="V1592" s="2">
        <v>0</v>
      </c>
      <c r="W1592" s="2">
        <v>1</v>
      </c>
      <c r="X1592" s="2" t="s">
        <v>933</v>
      </c>
      <c r="Y1592" s="2">
        <v>0</v>
      </c>
      <c r="Z1592" s="2">
        <v>1</v>
      </c>
      <c r="AA1592" s="2">
        <v>1</v>
      </c>
      <c r="AB1592" s="2">
        <v>1</v>
      </c>
      <c r="AC1592" s="2">
        <v>1</v>
      </c>
      <c r="AD1592" s="2">
        <v>2</v>
      </c>
      <c r="AE1592" s="2" t="s">
        <v>0</v>
      </c>
      <c r="AF1592" s="2">
        <v>1</v>
      </c>
      <c r="AG1592" s="2" t="s">
        <v>49</v>
      </c>
    </row>
    <row r="1593" spans="1:33" ht="38.25" x14ac:dyDescent="0.2">
      <c r="A1593" s="5" t="str">
        <f>HYPERLINK("http://www.patentics.cn/invokexml.do?sf=ShowPatent&amp;spn=WO2014169594&amp;sv=7fe812a20d5643c87bb4daeac2f963e0","WO2014169594")</f>
        <v>WO2014169594</v>
      </c>
      <c r="B1593" s="3" t="s">
        <v>7279</v>
      </c>
      <c r="C1593" s="3" t="s">
        <v>7280</v>
      </c>
      <c r="D1593" s="3" t="s">
        <v>7281</v>
      </c>
      <c r="E1593" s="3" t="s">
        <v>7282</v>
      </c>
      <c r="F1593" s="3" t="s">
        <v>7283</v>
      </c>
      <c r="G1593" s="3" t="s">
        <v>2579</v>
      </c>
      <c r="H1593" s="3" t="s">
        <v>7053</v>
      </c>
      <c r="I1593" s="3" t="s">
        <v>7284</v>
      </c>
      <c r="J1593" s="3" t="s">
        <v>7055</v>
      </c>
      <c r="K1593" s="3" t="s">
        <v>84</v>
      </c>
      <c r="L1593" s="3" t="s">
        <v>506</v>
      </c>
      <c r="M1593" s="3" t="s">
        <v>0</v>
      </c>
      <c r="N1593" s="3" t="s">
        <v>0</v>
      </c>
      <c r="O1593" s="3">
        <v>40</v>
      </c>
      <c r="P1593" s="3">
        <v>12</v>
      </c>
      <c r="Q1593" s="3" t="s">
        <v>352</v>
      </c>
      <c r="R1593" s="3" t="s">
        <v>47</v>
      </c>
      <c r="S1593" s="3">
        <v>4</v>
      </c>
      <c r="T1593" s="3">
        <v>0</v>
      </c>
      <c r="U1593" s="3">
        <v>4</v>
      </c>
      <c r="V1593" s="3">
        <v>3</v>
      </c>
      <c r="W1593" s="3">
        <v>8</v>
      </c>
      <c r="X1593" s="3" t="s">
        <v>147</v>
      </c>
      <c r="Y1593" s="3">
        <v>0</v>
      </c>
      <c r="Z1593" s="3">
        <v>8</v>
      </c>
      <c r="AA1593" s="3">
        <v>0</v>
      </c>
      <c r="AB1593" s="3">
        <v>1</v>
      </c>
      <c r="AC1593" s="3">
        <v>2</v>
      </c>
      <c r="AD1593" s="3">
        <v>2</v>
      </c>
      <c r="AE1593" s="3">
        <v>14</v>
      </c>
      <c r="AF1593" s="3" t="s">
        <v>0</v>
      </c>
      <c r="AG1593" s="3" t="s">
        <v>0</v>
      </c>
    </row>
    <row r="1594" spans="1:33" ht="25.5" x14ac:dyDescent="0.2">
      <c r="A1594" s="4" t="str">
        <f>HYPERLINK("http://www.patentics.cn/invokexml.do?sf=ShowPatent&amp;spn=CN102355712&amp;sv=58c578dc6c74293fdb2d8fde8be8abc2","CN102355712")</f>
        <v>CN102355712</v>
      </c>
      <c r="B1594" s="2" t="s">
        <v>7285</v>
      </c>
      <c r="C1594" s="2" t="s">
        <v>7286</v>
      </c>
      <c r="D1594" s="2" t="s">
        <v>38</v>
      </c>
      <c r="E1594" s="2" t="s">
        <v>38</v>
      </c>
      <c r="F1594" s="2" t="s">
        <v>7287</v>
      </c>
      <c r="G1594" s="2" t="s">
        <v>7287</v>
      </c>
      <c r="H1594" s="2" t="s">
        <v>6594</v>
      </c>
      <c r="I1594" s="2" t="s">
        <v>6594</v>
      </c>
      <c r="J1594" s="2" t="s">
        <v>7288</v>
      </c>
      <c r="K1594" s="2" t="s">
        <v>82</v>
      </c>
      <c r="L1594" s="2" t="s">
        <v>3335</v>
      </c>
      <c r="M1594" s="2" t="s">
        <v>0</v>
      </c>
      <c r="N1594" s="2" t="s">
        <v>0</v>
      </c>
      <c r="O1594" s="2">
        <v>14</v>
      </c>
      <c r="P1594" s="2">
        <v>13</v>
      </c>
      <c r="Q1594" s="2" t="s">
        <v>46</v>
      </c>
      <c r="R1594" s="2" t="s">
        <v>47</v>
      </c>
      <c r="S1594" s="2">
        <v>0</v>
      </c>
      <c r="T1594" s="2">
        <v>0</v>
      </c>
      <c r="U1594" s="2">
        <v>0</v>
      </c>
      <c r="V1594" s="2">
        <v>0</v>
      </c>
      <c r="W1594" s="2">
        <v>3</v>
      </c>
      <c r="X1594" s="2" t="s">
        <v>7289</v>
      </c>
      <c r="Y1594" s="2">
        <v>1</v>
      </c>
      <c r="Z1594" s="2">
        <v>2</v>
      </c>
      <c r="AA1594" s="2">
        <v>3</v>
      </c>
      <c r="AB1594" s="2">
        <v>2</v>
      </c>
      <c r="AC1594" s="2">
        <v>1</v>
      </c>
      <c r="AD1594" s="2">
        <v>2</v>
      </c>
      <c r="AE1594" s="2" t="s">
        <v>0</v>
      </c>
      <c r="AF1594" s="2">
        <v>1</v>
      </c>
      <c r="AG1594" s="2" t="s">
        <v>2231</v>
      </c>
    </row>
    <row r="1595" spans="1:33" ht="63.75" x14ac:dyDescent="0.2">
      <c r="A1595" s="5" t="str">
        <f>HYPERLINK("http://www.patentics.cn/invokexml.do?sf=ShowPatent&amp;spn=WO2014094423&amp;sv=caf229fc337f6e4560465779db6beb15","WO2014094423")</f>
        <v>WO2014094423</v>
      </c>
      <c r="B1595" s="3" t="s">
        <v>7290</v>
      </c>
      <c r="C1595" s="3" t="s">
        <v>7291</v>
      </c>
      <c r="D1595" s="3" t="s">
        <v>7292</v>
      </c>
      <c r="E1595" s="3" t="s">
        <v>7293</v>
      </c>
      <c r="F1595" s="3" t="s">
        <v>7294</v>
      </c>
      <c r="G1595" s="3" t="s">
        <v>7128</v>
      </c>
      <c r="H1595" s="3" t="s">
        <v>5079</v>
      </c>
      <c r="I1595" s="3" t="s">
        <v>4738</v>
      </c>
      <c r="J1595" s="3" t="s">
        <v>5080</v>
      </c>
      <c r="K1595" s="3" t="s">
        <v>82</v>
      </c>
      <c r="L1595" s="3" t="s">
        <v>1010</v>
      </c>
      <c r="M1595" s="3" t="s">
        <v>0</v>
      </c>
      <c r="N1595" s="3" t="s">
        <v>0</v>
      </c>
      <c r="O1595" s="3">
        <v>32</v>
      </c>
      <c r="P1595" s="3">
        <v>8</v>
      </c>
      <c r="Q1595" s="3" t="s">
        <v>352</v>
      </c>
      <c r="R1595" s="3" t="s">
        <v>47</v>
      </c>
      <c r="S1595" s="3">
        <v>4</v>
      </c>
      <c r="T1595" s="3">
        <v>1</v>
      </c>
      <c r="U1595" s="3">
        <v>3</v>
      </c>
      <c r="V1595" s="3">
        <v>4</v>
      </c>
      <c r="W1595" s="3">
        <v>0</v>
      </c>
      <c r="X1595" s="3" t="s">
        <v>147</v>
      </c>
      <c r="Y1595" s="3">
        <v>0</v>
      </c>
      <c r="Z1595" s="3">
        <v>0</v>
      </c>
      <c r="AA1595" s="3">
        <v>0</v>
      </c>
      <c r="AB1595" s="3">
        <v>0</v>
      </c>
      <c r="AC1595" s="3">
        <v>1</v>
      </c>
      <c r="AD1595" s="3">
        <v>1</v>
      </c>
      <c r="AE1595" s="3">
        <v>14</v>
      </c>
      <c r="AF1595" s="3" t="s">
        <v>0</v>
      </c>
      <c r="AG1595" s="3" t="s">
        <v>0</v>
      </c>
    </row>
    <row r="1596" spans="1:33" ht="25.5" x14ac:dyDescent="0.2">
      <c r="A1596" s="4" t="str">
        <f>HYPERLINK("http://www.patentics.cn/invokexml.do?sf=ShowPatent&amp;spn=CN102355731&amp;sv=60bb4afa3ab5de1b7eb153820def6901","CN102355731")</f>
        <v>CN102355731</v>
      </c>
      <c r="B1596" s="2" t="s">
        <v>7295</v>
      </c>
      <c r="C1596" s="2" t="s">
        <v>7296</v>
      </c>
      <c r="D1596" s="2" t="s">
        <v>38</v>
      </c>
      <c r="E1596" s="2" t="s">
        <v>38</v>
      </c>
      <c r="F1596" s="2" t="s">
        <v>7297</v>
      </c>
      <c r="G1596" s="2" t="s">
        <v>7298</v>
      </c>
      <c r="H1596" s="2" t="s">
        <v>4761</v>
      </c>
      <c r="I1596" s="2" t="s">
        <v>4761</v>
      </c>
      <c r="J1596" s="2" t="s">
        <v>7288</v>
      </c>
      <c r="K1596" s="2" t="s">
        <v>82</v>
      </c>
      <c r="L1596" s="2" t="s">
        <v>244</v>
      </c>
      <c r="M1596" s="2" t="s">
        <v>0</v>
      </c>
      <c r="N1596" s="2" t="s">
        <v>0</v>
      </c>
      <c r="O1596" s="2">
        <v>27</v>
      </c>
      <c r="P1596" s="2">
        <v>24</v>
      </c>
      <c r="Q1596" s="2" t="s">
        <v>46</v>
      </c>
      <c r="R1596" s="2" t="s">
        <v>47</v>
      </c>
      <c r="S1596" s="2">
        <v>0</v>
      </c>
      <c r="T1596" s="2">
        <v>0</v>
      </c>
      <c r="U1596" s="2">
        <v>0</v>
      </c>
      <c r="V1596" s="2">
        <v>0</v>
      </c>
      <c r="W1596" s="2">
        <v>9</v>
      </c>
      <c r="X1596" s="2" t="s">
        <v>7299</v>
      </c>
      <c r="Y1596" s="2">
        <v>2</v>
      </c>
      <c r="Z1596" s="2">
        <v>7</v>
      </c>
      <c r="AA1596" s="2">
        <v>6</v>
      </c>
      <c r="AB1596" s="2">
        <v>3</v>
      </c>
      <c r="AC1596" s="2">
        <v>4</v>
      </c>
      <c r="AD1596" s="2">
        <v>4</v>
      </c>
      <c r="AE1596" s="2" t="s">
        <v>0</v>
      </c>
      <c r="AF1596" s="2">
        <v>1</v>
      </c>
      <c r="AG1596" s="2" t="s">
        <v>2231</v>
      </c>
    </row>
    <row r="1597" spans="1:33" ht="63.75" x14ac:dyDescent="0.2">
      <c r="A1597" s="5" t="str">
        <f>HYPERLINK("http://www.patentics.cn/invokexml.do?sf=ShowPatent&amp;spn=WO2014110690&amp;sv=54240dece7d16ba301a2d25f757b5f2d","WO2014110690")</f>
        <v>WO2014110690</v>
      </c>
      <c r="B1597" s="3" t="s">
        <v>7300</v>
      </c>
      <c r="C1597" s="3" t="s">
        <v>7301</v>
      </c>
      <c r="D1597" s="3" t="s">
        <v>7302</v>
      </c>
      <c r="E1597" s="3" t="s">
        <v>7303</v>
      </c>
      <c r="F1597" s="3" t="s">
        <v>7304</v>
      </c>
      <c r="G1597" s="3" t="s">
        <v>2579</v>
      </c>
      <c r="H1597" s="3" t="s">
        <v>0</v>
      </c>
      <c r="I1597" s="3" t="s">
        <v>3162</v>
      </c>
      <c r="J1597" s="3" t="s">
        <v>6639</v>
      </c>
      <c r="K1597" s="3" t="s">
        <v>82</v>
      </c>
      <c r="L1597" s="3" t="s">
        <v>244</v>
      </c>
      <c r="M1597" s="3" t="s">
        <v>0</v>
      </c>
      <c r="N1597" s="3" t="s">
        <v>0</v>
      </c>
      <c r="O1597" s="3">
        <v>80</v>
      </c>
      <c r="P1597" s="3">
        <v>15</v>
      </c>
      <c r="Q1597" s="3" t="s">
        <v>352</v>
      </c>
      <c r="R1597" s="3" t="s">
        <v>1387</v>
      </c>
      <c r="S1597" s="3">
        <v>4</v>
      </c>
      <c r="T1597" s="3">
        <v>0</v>
      </c>
      <c r="U1597" s="3">
        <v>4</v>
      </c>
      <c r="V1597" s="3">
        <v>4</v>
      </c>
      <c r="W1597" s="3">
        <v>8</v>
      </c>
      <c r="X1597" s="3" t="s">
        <v>147</v>
      </c>
      <c r="Y1597" s="3">
        <v>0</v>
      </c>
      <c r="Z1597" s="3">
        <v>8</v>
      </c>
      <c r="AA1597" s="3">
        <v>0</v>
      </c>
      <c r="AB1597" s="3">
        <v>1</v>
      </c>
      <c r="AC1597" s="3">
        <v>0</v>
      </c>
      <c r="AD1597" s="3">
        <v>0</v>
      </c>
      <c r="AE1597" s="3">
        <v>14</v>
      </c>
      <c r="AF1597" s="3" t="s">
        <v>0</v>
      </c>
      <c r="AG1597" s="3" t="s">
        <v>0</v>
      </c>
    </row>
    <row r="1598" spans="1:33" ht="25.5" x14ac:dyDescent="0.2">
      <c r="A1598" s="4" t="str">
        <f>HYPERLINK("http://www.patentics.cn/invokexml.do?sf=ShowPatent&amp;spn=CN102340599&amp;sv=02bbdce99b4dc558b2d1ed5e54f33c7e","CN102340599")</f>
        <v>CN102340599</v>
      </c>
      <c r="B1598" s="2" t="s">
        <v>7305</v>
      </c>
      <c r="C1598" s="2" t="s">
        <v>7306</v>
      </c>
      <c r="D1598" s="2" t="s">
        <v>38</v>
      </c>
      <c r="E1598" s="2" t="s">
        <v>38</v>
      </c>
      <c r="F1598" s="2" t="s">
        <v>7307</v>
      </c>
      <c r="G1598" s="2" t="s">
        <v>7307</v>
      </c>
      <c r="H1598" s="2" t="s">
        <v>4872</v>
      </c>
      <c r="I1598" s="2" t="s">
        <v>4872</v>
      </c>
      <c r="J1598" s="2" t="s">
        <v>3251</v>
      </c>
      <c r="K1598" s="2" t="s">
        <v>270</v>
      </c>
      <c r="L1598" s="2" t="s">
        <v>5631</v>
      </c>
      <c r="M1598" s="2" t="s">
        <v>0</v>
      </c>
      <c r="N1598" s="2" t="s">
        <v>0</v>
      </c>
      <c r="O1598" s="2">
        <v>14</v>
      </c>
      <c r="P1598" s="2">
        <v>7</v>
      </c>
      <c r="Q1598" s="2" t="s">
        <v>46</v>
      </c>
      <c r="R1598" s="2" t="s">
        <v>47</v>
      </c>
      <c r="S1598" s="2">
        <v>0</v>
      </c>
      <c r="T1598" s="2">
        <v>0</v>
      </c>
      <c r="U1598" s="2">
        <v>0</v>
      </c>
      <c r="V1598" s="2">
        <v>0</v>
      </c>
      <c r="W1598" s="2">
        <v>5</v>
      </c>
      <c r="X1598" s="2" t="s">
        <v>7308</v>
      </c>
      <c r="Y1598" s="2">
        <v>2</v>
      </c>
      <c r="Z1598" s="2">
        <v>3</v>
      </c>
      <c r="AA1598" s="2">
        <v>4</v>
      </c>
      <c r="AB1598" s="2">
        <v>3</v>
      </c>
      <c r="AC1598" s="2">
        <v>1</v>
      </c>
      <c r="AD1598" s="2">
        <v>2</v>
      </c>
      <c r="AE1598" s="2" t="s">
        <v>0</v>
      </c>
      <c r="AF1598" s="2">
        <v>1</v>
      </c>
      <c r="AG1598" s="2" t="s">
        <v>49</v>
      </c>
    </row>
    <row r="1599" spans="1:33" ht="63.75" x14ac:dyDescent="0.2">
      <c r="A1599" s="5" t="str">
        <f>HYPERLINK("http://www.patentics.cn/invokexml.do?sf=ShowPatent&amp;spn=US9560099&amp;sv=0f3afedfb0be70c628c9a42cc4452223","US9560099")</f>
        <v>US9560099</v>
      </c>
      <c r="B1599" s="3" t="s">
        <v>7309</v>
      </c>
      <c r="C1599" s="3" t="s">
        <v>7310</v>
      </c>
      <c r="D1599" s="3" t="s">
        <v>52</v>
      </c>
      <c r="E1599" s="3" t="s">
        <v>52</v>
      </c>
      <c r="F1599" s="3" t="s">
        <v>7311</v>
      </c>
      <c r="G1599" s="3" t="s">
        <v>7312</v>
      </c>
      <c r="H1599" s="3" t="s">
        <v>7313</v>
      </c>
      <c r="I1599" s="3" t="s">
        <v>7313</v>
      </c>
      <c r="J1599" s="3" t="s">
        <v>2399</v>
      </c>
      <c r="K1599" s="3" t="s">
        <v>84</v>
      </c>
      <c r="L1599" s="3" t="s">
        <v>163</v>
      </c>
      <c r="M1599" s="3" t="s">
        <v>58</v>
      </c>
      <c r="N1599" s="3" t="s">
        <v>7314</v>
      </c>
      <c r="O1599" s="3">
        <v>0</v>
      </c>
      <c r="P1599" s="3">
        <v>14</v>
      </c>
      <c r="Q1599" s="3" t="s">
        <v>60</v>
      </c>
      <c r="R1599" s="3" t="s">
        <v>61</v>
      </c>
      <c r="S1599" s="3">
        <v>77</v>
      </c>
      <c r="T1599" s="3">
        <v>10</v>
      </c>
      <c r="U1599" s="3">
        <v>67</v>
      </c>
      <c r="V1599" s="3">
        <v>40</v>
      </c>
      <c r="W1599" s="3">
        <v>0</v>
      </c>
      <c r="X1599" s="3" t="s">
        <v>147</v>
      </c>
      <c r="Y1599" s="3">
        <v>0</v>
      </c>
      <c r="Z1599" s="3">
        <v>0</v>
      </c>
      <c r="AA1599" s="3">
        <v>0</v>
      </c>
      <c r="AB1599" s="3">
        <v>0</v>
      </c>
      <c r="AC1599" s="3">
        <v>2</v>
      </c>
      <c r="AD1599" s="3">
        <v>1</v>
      </c>
      <c r="AE1599" s="3">
        <v>14</v>
      </c>
      <c r="AF1599" s="3" t="s">
        <v>0</v>
      </c>
      <c r="AG1599" s="3" t="s">
        <v>49</v>
      </c>
    </row>
    <row r="1600" spans="1:33" ht="51" x14ac:dyDescent="0.2">
      <c r="A1600" s="4" t="str">
        <f>HYPERLINK("http://www.patentics.cn/invokexml.do?sf=ShowPatent&amp;spn=CN102325325&amp;sv=10f77ab1caa36c1992c465a9b89a75ce","CN102325325")</f>
        <v>CN102325325</v>
      </c>
      <c r="B1600" s="2" t="s">
        <v>7315</v>
      </c>
      <c r="C1600" s="2" t="s">
        <v>7316</v>
      </c>
      <c r="D1600" s="2" t="s">
        <v>38</v>
      </c>
      <c r="E1600" s="2" t="s">
        <v>38</v>
      </c>
      <c r="F1600" s="2" t="s">
        <v>7317</v>
      </c>
      <c r="G1600" s="2" t="s">
        <v>7318</v>
      </c>
      <c r="H1600" s="2" t="s">
        <v>0</v>
      </c>
      <c r="I1600" s="2" t="s">
        <v>2213</v>
      </c>
      <c r="J1600" s="2" t="s">
        <v>7319</v>
      </c>
      <c r="K1600" s="2" t="s">
        <v>82</v>
      </c>
      <c r="L1600" s="2" t="s">
        <v>7320</v>
      </c>
      <c r="M1600" s="2" t="s">
        <v>0</v>
      </c>
      <c r="N1600" s="2" t="s">
        <v>0</v>
      </c>
      <c r="O1600" s="2">
        <v>10</v>
      </c>
      <c r="P1600" s="2">
        <v>21</v>
      </c>
      <c r="Q1600" s="2" t="s">
        <v>46</v>
      </c>
      <c r="R1600" s="2" t="s">
        <v>47</v>
      </c>
      <c r="S1600" s="2">
        <v>0</v>
      </c>
      <c r="T1600" s="2">
        <v>0</v>
      </c>
      <c r="U1600" s="2">
        <v>0</v>
      </c>
      <c r="V1600" s="2">
        <v>0</v>
      </c>
      <c r="W1600" s="2">
        <v>1</v>
      </c>
      <c r="X1600" s="2" t="s">
        <v>933</v>
      </c>
      <c r="Y1600" s="2">
        <v>0</v>
      </c>
      <c r="Z1600" s="2">
        <v>1</v>
      </c>
      <c r="AA1600" s="2">
        <v>1</v>
      </c>
      <c r="AB1600" s="2">
        <v>1</v>
      </c>
      <c r="AC1600" s="2">
        <v>0</v>
      </c>
      <c r="AD1600" s="2">
        <v>0</v>
      </c>
      <c r="AE1600" s="2" t="s">
        <v>0</v>
      </c>
      <c r="AF1600" s="2">
        <v>1</v>
      </c>
      <c r="AG1600" s="2" t="s">
        <v>49</v>
      </c>
    </row>
    <row r="1601" spans="1:33" ht="38.25" x14ac:dyDescent="0.2">
      <c r="A1601" s="5" t="str">
        <f>HYPERLINK("http://www.patentics.cn/invokexml.do?sf=ShowPatent&amp;spn=WO2014026315&amp;sv=16f5f972d808d1f26a8ffc250c7dd307","WO2014026315")</f>
        <v>WO2014026315</v>
      </c>
      <c r="B1601" s="3" t="s">
        <v>7321</v>
      </c>
      <c r="C1601" s="3" t="s">
        <v>7322</v>
      </c>
      <c r="D1601" s="3" t="s">
        <v>7323</v>
      </c>
      <c r="E1601" s="3" t="s">
        <v>7324</v>
      </c>
      <c r="F1601" s="3" t="s">
        <v>7325</v>
      </c>
      <c r="G1601" s="3" t="s">
        <v>7326</v>
      </c>
      <c r="H1601" s="3" t="s">
        <v>7327</v>
      </c>
      <c r="I1601" s="3" t="s">
        <v>7327</v>
      </c>
      <c r="J1601" s="3" t="s">
        <v>7328</v>
      </c>
      <c r="K1601" s="3" t="s">
        <v>82</v>
      </c>
      <c r="L1601" s="3" t="s">
        <v>1294</v>
      </c>
      <c r="M1601" s="3" t="s">
        <v>0</v>
      </c>
      <c r="N1601" s="3" t="s">
        <v>0</v>
      </c>
      <c r="O1601" s="3">
        <v>38</v>
      </c>
      <c r="P1601" s="3">
        <v>11</v>
      </c>
      <c r="Q1601" s="3" t="s">
        <v>352</v>
      </c>
      <c r="R1601" s="3" t="s">
        <v>47</v>
      </c>
      <c r="S1601" s="3">
        <v>4</v>
      </c>
      <c r="T1601" s="3">
        <v>0</v>
      </c>
      <c r="U1601" s="3">
        <v>4</v>
      </c>
      <c r="V1601" s="3">
        <v>3</v>
      </c>
      <c r="W1601" s="3">
        <v>0</v>
      </c>
      <c r="X1601" s="3" t="s">
        <v>147</v>
      </c>
      <c r="Y1601" s="3">
        <v>0</v>
      </c>
      <c r="Z1601" s="3">
        <v>0</v>
      </c>
      <c r="AA1601" s="3">
        <v>0</v>
      </c>
      <c r="AB1601" s="3">
        <v>0</v>
      </c>
      <c r="AC1601" s="3">
        <v>1</v>
      </c>
      <c r="AD1601" s="3">
        <v>2</v>
      </c>
      <c r="AE1601" s="3">
        <v>14</v>
      </c>
      <c r="AF1601" s="3" t="s">
        <v>0</v>
      </c>
      <c r="AG1601" s="3" t="s">
        <v>0</v>
      </c>
    </row>
    <row r="1602" spans="1:33" ht="38.25" x14ac:dyDescent="0.2">
      <c r="A1602" s="4" t="str">
        <f>HYPERLINK("http://www.patentics.cn/invokexml.do?sf=ShowPatent&amp;spn=CN102244910&amp;sv=6ae42258ffceb9200857686724c0af99","CN102244910")</f>
        <v>CN102244910</v>
      </c>
      <c r="B1602" s="2" t="s">
        <v>7329</v>
      </c>
      <c r="C1602" s="2" t="s">
        <v>7330</v>
      </c>
      <c r="D1602" s="2" t="s">
        <v>38</v>
      </c>
      <c r="E1602" s="2" t="s">
        <v>38</v>
      </c>
      <c r="F1602" s="2" t="s">
        <v>7331</v>
      </c>
      <c r="G1602" s="2" t="s">
        <v>7332</v>
      </c>
      <c r="H1602" s="2" t="s">
        <v>6819</v>
      </c>
      <c r="I1602" s="2" t="s">
        <v>6819</v>
      </c>
      <c r="J1602" s="2" t="s">
        <v>7333</v>
      </c>
      <c r="K1602" s="2" t="s">
        <v>82</v>
      </c>
      <c r="L1602" s="2" t="s">
        <v>1560</v>
      </c>
      <c r="M1602" s="2" t="s">
        <v>0</v>
      </c>
      <c r="N1602" s="2" t="s">
        <v>0</v>
      </c>
      <c r="O1602" s="2">
        <v>25</v>
      </c>
      <c r="P1602" s="2">
        <v>18</v>
      </c>
      <c r="Q1602" s="2" t="s">
        <v>46</v>
      </c>
      <c r="R1602" s="2" t="s">
        <v>47</v>
      </c>
      <c r="S1602" s="2">
        <v>0</v>
      </c>
      <c r="T1602" s="2">
        <v>0</v>
      </c>
      <c r="U1602" s="2">
        <v>0</v>
      </c>
      <c r="V1602" s="2">
        <v>0</v>
      </c>
      <c r="W1602" s="2">
        <v>3</v>
      </c>
      <c r="X1602" s="2" t="s">
        <v>7334</v>
      </c>
      <c r="Y1602" s="2">
        <v>0</v>
      </c>
      <c r="Z1602" s="2">
        <v>3</v>
      </c>
      <c r="AA1602" s="2">
        <v>2</v>
      </c>
      <c r="AB1602" s="2">
        <v>1</v>
      </c>
      <c r="AC1602" s="2">
        <v>2</v>
      </c>
      <c r="AD1602" s="2">
        <v>2</v>
      </c>
      <c r="AE1602" s="2" t="s">
        <v>0</v>
      </c>
      <c r="AF1602" s="2">
        <v>1</v>
      </c>
      <c r="AG1602" s="2" t="s">
        <v>49</v>
      </c>
    </row>
    <row r="1603" spans="1:33" ht="127.5" x14ac:dyDescent="0.2">
      <c r="A1603" s="5" t="str">
        <f>HYPERLINK("http://www.patentics.cn/invokexml.do?sf=ShowPatent&amp;spn=WO2013166675&amp;sv=4926c4d6262de8588e0465fcdb3e1bd5","WO2013166675")</f>
        <v>WO2013166675</v>
      </c>
      <c r="B1603" s="3" t="s">
        <v>7335</v>
      </c>
      <c r="C1603" s="3" t="s">
        <v>7336</v>
      </c>
      <c r="D1603" s="3" t="s">
        <v>7337</v>
      </c>
      <c r="E1603" s="3" t="s">
        <v>7338</v>
      </c>
      <c r="F1603" s="3" t="s">
        <v>7339</v>
      </c>
      <c r="G1603" s="3" t="s">
        <v>3434</v>
      </c>
      <c r="H1603" s="3" t="s">
        <v>0</v>
      </c>
      <c r="I1603" s="3" t="s">
        <v>5072</v>
      </c>
      <c r="J1603" s="3" t="s">
        <v>2726</v>
      </c>
      <c r="K1603" s="3" t="s">
        <v>82</v>
      </c>
      <c r="L1603" s="3" t="s">
        <v>7340</v>
      </c>
      <c r="M1603" s="3" t="s">
        <v>0</v>
      </c>
      <c r="N1603" s="3" t="s">
        <v>0</v>
      </c>
      <c r="O1603" s="3">
        <v>39</v>
      </c>
      <c r="P1603" s="3">
        <v>12</v>
      </c>
      <c r="Q1603" s="3" t="s">
        <v>352</v>
      </c>
      <c r="R1603" s="3" t="s">
        <v>1387</v>
      </c>
      <c r="S1603" s="3">
        <v>1</v>
      </c>
      <c r="T1603" s="3">
        <v>0</v>
      </c>
      <c r="U1603" s="3">
        <v>1</v>
      </c>
      <c r="V1603" s="3">
        <v>1</v>
      </c>
      <c r="W1603" s="3">
        <v>0</v>
      </c>
      <c r="X1603" s="3" t="s">
        <v>147</v>
      </c>
      <c r="Y1603" s="3">
        <v>0</v>
      </c>
      <c r="Z1603" s="3">
        <v>0</v>
      </c>
      <c r="AA1603" s="3">
        <v>0</v>
      </c>
      <c r="AB1603" s="3">
        <v>0</v>
      </c>
      <c r="AC1603" s="3">
        <v>0</v>
      </c>
      <c r="AD1603" s="3">
        <v>0</v>
      </c>
      <c r="AE1603" s="3">
        <v>14</v>
      </c>
      <c r="AF1603" s="3" t="s">
        <v>0</v>
      </c>
      <c r="AG1603" s="3" t="s">
        <v>0</v>
      </c>
    </row>
    <row r="1604" spans="1:33" ht="25.5" x14ac:dyDescent="0.2">
      <c r="A1604" s="4" t="str">
        <f>HYPERLINK("http://www.patentics.cn/invokexml.do?sf=ShowPatent&amp;spn=CN102223640&amp;sv=d018affe8fb85bde1ca9fb0b81b9d4ef","CN102223640")</f>
        <v>CN102223640</v>
      </c>
      <c r="B1604" s="2" t="s">
        <v>7341</v>
      </c>
      <c r="C1604" s="2" t="s">
        <v>7342</v>
      </c>
      <c r="D1604" s="2" t="s">
        <v>38</v>
      </c>
      <c r="E1604" s="2" t="s">
        <v>38</v>
      </c>
      <c r="F1604" s="2" t="s">
        <v>7343</v>
      </c>
      <c r="G1604" s="2" t="s">
        <v>7344</v>
      </c>
      <c r="H1604" s="2" t="s">
        <v>7345</v>
      </c>
      <c r="I1604" s="2" t="s">
        <v>7345</v>
      </c>
      <c r="J1604" s="2" t="s">
        <v>7346</v>
      </c>
      <c r="K1604" s="2" t="s">
        <v>82</v>
      </c>
      <c r="L1604" s="2" t="s">
        <v>2712</v>
      </c>
      <c r="M1604" s="2" t="s">
        <v>0</v>
      </c>
      <c r="N1604" s="2" t="s">
        <v>0</v>
      </c>
      <c r="O1604" s="2">
        <v>30</v>
      </c>
      <c r="P1604" s="2">
        <v>14</v>
      </c>
      <c r="Q1604" s="2" t="s">
        <v>46</v>
      </c>
      <c r="R1604" s="2" t="s">
        <v>47</v>
      </c>
      <c r="S1604" s="2">
        <v>0</v>
      </c>
      <c r="T1604" s="2">
        <v>0</v>
      </c>
      <c r="U1604" s="2">
        <v>0</v>
      </c>
      <c r="V1604" s="2">
        <v>0</v>
      </c>
      <c r="W1604" s="2">
        <v>3</v>
      </c>
      <c r="X1604" s="2" t="s">
        <v>7236</v>
      </c>
      <c r="Y1604" s="2">
        <v>1</v>
      </c>
      <c r="Z1604" s="2">
        <v>2</v>
      </c>
      <c r="AA1604" s="2">
        <v>3</v>
      </c>
      <c r="AB1604" s="2">
        <v>1</v>
      </c>
      <c r="AC1604" s="2">
        <v>1</v>
      </c>
      <c r="AD1604" s="2">
        <v>2</v>
      </c>
      <c r="AE1604" s="2" t="s">
        <v>0</v>
      </c>
      <c r="AF1604" s="2">
        <v>1</v>
      </c>
      <c r="AG1604" s="2" t="s">
        <v>2231</v>
      </c>
    </row>
    <row r="1605" spans="1:33" ht="102" x14ac:dyDescent="0.2">
      <c r="A1605" s="5" t="str">
        <f>HYPERLINK("http://www.patentics.cn/invokexml.do?sf=ShowPatent&amp;spn=WO2015000157&amp;sv=ae39e39654b0b3855deecb8e4ce8be61","WO2015000157")</f>
        <v>WO2015000157</v>
      </c>
      <c r="B1605" s="3" t="s">
        <v>7347</v>
      </c>
      <c r="C1605" s="3" t="s">
        <v>7348</v>
      </c>
      <c r="D1605" s="3" t="s">
        <v>7349</v>
      </c>
      <c r="E1605" s="3" t="s">
        <v>7350</v>
      </c>
      <c r="F1605" s="3" t="s">
        <v>7351</v>
      </c>
      <c r="G1605" s="3" t="s">
        <v>5659</v>
      </c>
      <c r="H1605" s="3" t="s">
        <v>7352</v>
      </c>
      <c r="I1605" s="3" t="s">
        <v>7352</v>
      </c>
      <c r="J1605" s="3" t="s">
        <v>7353</v>
      </c>
      <c r="K1605" s="3" t="s">
        <v>82</v>
      </c>
      <c r="L1605" s="3" t="s">
        <v>997</v>
      </c>
      <c r="M1605" s="3" t="s">
        <v>0</v>
      </c>
      <c r="N1605" s="3" t="s">
        <v>0</v>
      </c>
      <c r="O1605" s="3">
        <v>36</v>
      </c>
      <c r="P1605" s="3">
        <v>15</v>
      </c>
      <c r="Q1605" s="3" t="s">
        <v>352</v>
      </c>
      <c r="R1605" s="3" t="s">
        <v>47</v>
      </c>
      <c r="S1605" s="3">
        <v>3</v>
      </c>
      <c r="T1605" s="3">
        <v>1</v>
      </c>
      <c r="U1605" s="3">
        <v>2</v>
      </c>
      <c r="V1605" s="3">
        <v>3</v>
      </c>
      <c r="W1605" s="3">
        <v>0</v>
      </c>
      <c r="X1605" s="3" t="s">
        <v>147</v>
      </c>
      <c r="Y1605" s="3">
        <v>0</v>
      </c>
      <c r="Z1605" s="3">
        <v>0</v>
      </c>
      <c r="AA1605" s="3">
        <v>0</v>
      </c>
      <c r="AB1605" s="3">
        <v>0</v>
      </c>
      <c r="AC1605" s="3">
        <v>5</v>
      </c>
      <c r="AD1605" s="3">
        <v>5</v>
      </c>
      <c r="AE1605" s="3">
        <v>14</v>
      </c>
      <c r="AF1605" s="3" t="s">
        <v>0</v>
      </c>
      <c r="AG1605" s="3" t="s">
        <v>0</v>
      </c>
    </row>
    <row r="1606" spans="1:33" ht="25.5" x14ac:dyDescent="0.2">
      <c r="A1606" s="4" t="str">
        <f>HYPERLINK("http://www.patentics.cn/invokexml.do?sf=ShowPatent&amp;spn=CN102215478&amp;sv=6591bcd0408468927446e3938ad74dbb","CN102215478")</f>
        <v>CN102215478</v>
      </c>
      <c r="B1606" s="2" t="s">
        <v>7354</v>
      </c>
      <c r="C1606" s="2" t="s">
        <v>7355</v>
      </c>
      <c r="D1606" s="2" t="s">
        <v>38</v>
      </c>
      <c r="E1606" s="2" t="s">
        <v>38</v>
      </c>
      <c r="F1606" s="2" t="s">
        <v>7356</v>
      </c>
      <c r="G1606" s="2" t="s">
        <v>7357</v>
      </c>
      <c r="H1606" s="2" t="s">
        <v>3282</v>
      </c>
      <c r="I1606" s="2" t="s">
        <v>3282</v>
      </c>
      <c r="J1606" s="2" t="s">
        <v>1488</v>
      </c>
      <c r="K1606" s="2" t="s">
        <v>82</v>
      </c>
      <c r="L1606" s="2" t="s">
        <v>5114</v>
      </c>
      <c r="M1606" s="2" t="s">
        <v>0</v>
      </c>
      <c r="N1606" s="2" t="s">
        <v>0</v>
      </c>
      <c r="O1606" s="2">
        <v>10</v>
      </c>
      <c r="P1606" s="2">
        <v>15</v>
      </c>
      <c r="Q1606" s="2" t="s">
        <v>46</v>
      </c>
      <c r="R1606" s="2" t="s">
        <v>47</v>
      </c>
      <c r="S1606" s="2">
        <v>0</v>
      </c>
      <c r="T1606" s="2">
        <v>0</v>
      </c>
      <c r="U1606" s="2">
        <v>0</v>
      </c>
      <c r="V1606" s="2">
        <v>0</v>
      </c>
      <c r="W1606" s="2">
        <v>2</v>
      </c>
      <c r="X1606" s="2" t="s">
        <v>198</v>
      </c>
      <c r="Y1606" s="2">
        <v>1</v>
      </c>
      <c r="Z1606" s="2">
        <v>1</v>
      </c>
      <c r="AA1606" s="2">
        <v>2</v>
      </c>
      <c r="AB1606" s="2">
        <v>2</v>
      </c>
      <c r="AC1606" s="2">
        <v>1</v>
      </c>
      <c r="AD1606" s="2">
        <v>2</v>
      </c>
      <c r="AE1606" s="2" t="s">
        <v>0</v>
      </c>
      <c r="AF1606" s="2">
        <v>1</v>
      </c>
      <c r="AG1606" s="2" t="s">
        <v>49</v>
      </c>
    </row>
    <row r="1607" spans="1:33" ht="114.75" x14ac:dyDescent="0.2">
      <c r="A1607" s="5" t="str">
        <f>HYPERLINK("http://www.patentics.cn/invokexml.do?sf=ShowPatent&amp;spn=US9516557&amp;sv=1230bc9f1358b190730a782826912833","US9516557")</f>
        <v>US9516557</v>
      </c>
      <c r="B1607" s="3" t="s">
        <v>6520</v>
      </c>
      <c r="C1607" s="3" t="s">
        <v>6521</v>
      </c>
      <c r="D1607" s="3" t="s">
        <v>52</v>
      </c>
      <c r="E1607" s="3" t="s">
        <v>52</v>
      </c>
      <c r="F1607" s="3" t="s">
        <v>6522</v>
      </c>
      <c r="G1607" s="3" t="s">
        <v>6523</v>
      </c>
      <c r="H1607" s="3" t="s">
        <v>2726</v>
      </c>
      <c r="I1607" s="3" t="s">
        <v>1481</v>
      </c>
      <c r="J1607" s="3" t="s">
        <v>3261</v>
      </c>
      <c r="K1607" s="3" t="s">
        <v>82</v>
      </c>
      <c r="L1607" s="3" t="s">
        <v>177</v>
      </c>
      <c r="M1607" s="3" t="s">
        <v>82</v>
      </c>
      <c r="N1607" s="3" t="s">
        <v>3421</v>
      </c>
      <c r="O1607" s="3">
        <v>0</v>
      </c>
      <c r="P1607" s="3">
        <v>38</v>
      </c>
      <c r="Q1607" s="3" t="s">
        <v>60</v>
      </c>
      <c r="R1607" s="3" t="s">
        <v>47</v>
      </c>
      <c r="S1607" s="3">
        <v>18</v>
      </c>
      <c r="T1607" s="3">
        <v>2</v>
      </c>
      <c r="U1607" s="3">
        <v>16</v>
      </c>
      <c r="V1607" s="3">
        <v>13</v>
      </c>
      <c r="W1607" s="3">
        <v>0</v>
      </c>
      <c r="X1607" s="3" t="s">
        <v>147</v>
      </c>
      <c r="Y1607" s="3">
        <v>0</v>
      </c>
      <c r="Z1607" s="3">
        <v>0</v>
      </c>
      <c r="AA1607" s="3">
        <v>0</v>
      </c>
      <c r="AB1607" s="3">
        <v>0</v>
      </c>
      <c r="AC1607" s="3">
        <v>2</v>
      </c>
      <c r="AD1607" s="3">
        <v>2</v>
      </c>
      <c r="AE1607" s="3">
        <v>14</v>
      </c>
      <c r="AF1607" s="3" t="s">
        <v>0</v>
      </c>
      <c r="AG1607" s="3" t="s">
        <v>49</v>
      </c>
    </row>
    <row r="1608" spans="1:33" ht="51" x14ac:dyDescent="0.2">
      <c r="A1608" s="4" t="str">
        <f>HYPERLINK("http://www.patentics.cn/invokexml.do?sf=ShowPatent&amp;spn=CN102170611&amp;sv=043d26396a645a23d7bf5505450609ad","CN102170611")</f>
        <v>CN102170611</v>
      </c>
      <c r="B1608" s="2" t="s">
        <v>7358</v>
      </c>
      <c r="C1608" s="2" t="s">
        <v>7359</v>
      </c>
      <c r="D1608" s="2" t="s">
        <v>38</v>
      </c>
      <c r="E1608" s="2" t="s">
        <v>38</v>
      </c>
      <c r="F1608" s="2" t="s">
        <v>7360</v>
      </c>
      <c r="G1608" s="2" t="s">
        <v>7361</v>
      </c>
      <c r="H1608" s="2" t="s">
        <v>2747</v>
      </c>
      <c r="I1608" s="2" t="s">
        <v>1403</v>
      </c>
      <c r="J1608" s="2" t="s">
        <v>658</v>
      </c>
      <c r="K1608" s="2" t="s">
        <v>82</v>
      </c>
      <c r="L1608" s="2" t="s">
        <v>1767</v>
      </c>
      <c r="M1608" s="2" t="s">
        <v>0</v>
      </c>
      <c r="N1608" s="2" t="s">
        <v>0</v>
      </c>
      <c r="O1608" s="2">
        <v>10</v>
      </c>
      <c r="P1608" s="2">
        <v>10</v>
      </c>
      <c r="Q1608" s="2" t="s">
        <v>46</v>
      </c>
      <c r="R1608" s="2" t="s">
        <v>47</v>
      </c>
      <c r="S1608" s="2">
        <v>0</v>
      </c>
      <c r="T1608" s="2">
        <v>0</v>
      </c>
      <c r="U1608" s="2">
        <v>0</v>
      </c>
      <c r="V1608" s="2">
        <v>0</v>
      </c>
      <c r="W1608" s="2">
        <v>3</v>
      </c>
      <c r="X1608" s="2" t="s">
        <v>72</v>
      </c>
      <c r="Y1608" s="2">
        <v>1</v>
      </c>
      <c r="Z1608" s="2">
        <v>2</v>
      </c>
      <c r="AA1608" s="2">
        <v>3</v>
      </c>
      <c r="AB1608" s="2">
        <v>1</v>
      </c>
      <c r="AC1608" s="2">
        <v>0</v>
      </c>
      <c r="AD1608" s="2">
        <v>0</v>
      </c>
      <c r="AE1608" s="2" t="s">
        <v>0</v>
      </c>
      <c r="AF1608" s="2">
        <v>1</v>
      </c>
      <c r="AG1608" s="2" t="s">
        <v>2523</v>
      </c>
    </row>
    <row r="1609" spans="1:33" ht="216.75" x14ac:dyDescent="0.2">
      <c r="A1609" s="5" t="str">
        <f>HYPERLINK("http://www.patentics.cn/invokexml.do?sf=ShowPatent&amp;spn=WO2014053073&amp;sv=62c83e1a045c9ace0c714cb4141844c4","WO2014053073")</f>
        <v>WO2014053073</v>
      </c>
      <c r="B1609" s="3" t="s">
        <v>7362</v>
      </c>
      <c r="C1609" s="3" t="s">
        <v>7363</v>
      </c>
      <c r="D1609" s="3" t="s">
        <v>7364</v>
      </c>
      <c r="E1609" s="3" t="s">
        <v>7365</v>
      </c>
      <c r="F1609" s="3" t="s">
        <v>7366</v>
      </c>
      <c r="G1609" s="3" t="s">
        <v>1574</v>
      </c>
      <c r="H1609" s="3" t="s">
        <v>7367</v>
      </c>
      <c r="I1609" s="3" t="s">
        <v>7367</v>
      </c>
      <c r="J1609" s="3" t="s">
        <v>5646</v>
      </c>
      <c r="K1609" s="3" t="s">
        <v>82</v>
      </c>
      <c r="L1609" s="3" t="s">
        <v>1767</v>
      </c>
      <c r="M1609" s="3" t="s">
        <v>0</v>
      </c>
      <c r="N1609" s="3" t="s">
        <v>0</v>
      </c>
      <c r="O1609" s="3">
        <v>28</v>
      </c>
      <c r="P1609" s="3">
        <v>14</v>
      </c>
      <c r="Q1609" s="3" t="s">
        <v>352</v>
      </c>
      <c r="R1609" s="3" t="s">
        <v>47</v>
      </c>
      <c r="S1609" s="3">
        <v>1</v>
      </c>
      <c r="T1609" s="3">
        <v>0</v>
      </c>
      <c r="U1609" s="3">
        <v>1</v>
      </c>
      <c r="V1609" s="3">
        <v>1</v>
      </c>
      <c r="W1609" s="3">
        <v>0</v>
      </c>
      <c r="X1609" s="3" t="s">
        <v>147</v>
      </c>
      <c r="Y1609" s="3">
        <v>0</v>
      </c>
      <c r="Z1609" s="3">
        <v>0</v>
      </c>
      <c r="AA1609" s="3">
        <v>0</v>
      </c>
      <c r="AB1609" s="3">
        <v>0</v>
      </c>
      <c r="AC1609" s="3">
        <v>5</v>
      </c>
      <c r="AD1609" s="3">
        <v>5</v>
      </c>
      <c r="AE1609" s="3">
        <v>14</v>
      </c>
      <c r="AF1609" s="3" t="s">
        <v>0</v>
      </c>
      <c r="AG1609" s="3" t="s">
        <v>0</v>
      </c>
    </row>
    <row r="1610" spans="1:33" ht="25.5" x14ac:dyDescent="0.2">
      <c r="A1610" s="4" t="str">
        <f>HYPERLINK("http://www.patentics.cn/invokexml.do?sf=ShowPatent&amp;spn=CN102170641&amp;sv=fa94cd2508388f92fdafa54515e1a20b","CN102170641")</f>
        <v>CN102170641</v>
      </c>
      <c r="B1610" s="2" t="s">
        <v>7368</v>
      </c>
      <c r="C1610" s="2" t="s">
        <v>7369</v>
      </c>
      <c r="D1610" s="2" t="s">
        <v>38</v>
      </c>
      <c r="E1610" s="2" t="s">
        <v>38</v>
      </c>
      <c r="F1610" s="2" t="s">
        <v>7370</v>
      </c>
      <c r="G1610" s="2" t="s">
        <v>7370</v>
      </c>
      <c r="H1610" s="2" t="s">
        <v>682</v>
      </c>
      <c r="I1610" s="2" t="s">
        <v>682</v>
      </c>
      <c r="J1610" s="2" t="s">
        <v>658</v>
      </c>
      <c r="K1610" s="2" t="s">
        <v>82</v>
      </c>
      <c r="L1610" s="2" t="s">
        <v>1949</v>
      </c>
      <c r="M1610" s="2" t="s">
        <v>0</v>
      </c>
      <c r="N1610" s="2" t="s">
        <v>0</v>
      </c>
      <c r="O1610" s="2">
        <v>12</v>
      </c>
      <c r="P1610" s="2">
        <v>14</v>
      </c>
      <c r="Q1610" s="2" t="s">
        <v>46</v>
      </c>
      <c r="R1610" s="2" t="s">
        <v>47</v>
      </c>
      <c r="S1610" s="2">
        <v>0</v>
      </c>
      <c r="T1610" s="2">
        <v>0</v>
      </c>
      <c r="U1610" s="2">
        <v>0</v>
      </c>
      <c r="V1610" s="2">
        <v>0</v>
      </c>
      <c r="W1610" s="2">
        <v>5</v>
      </c>
      <c r="X1610" s="2" t="s">
        <v>7371</v>
      </c>
      <c r="Y1610" s="2">
        <v>2</v>
      </c>
      <c r="Z1610" s="2">
        <v>3</v>
      </c>
      <c r="AA1610" s="2">
        <v>3</v>
      </c>
      <c r="AB1610" s="2">
        <v>3</v>
      </c>
      <c r="AC1610" s="2">
        <v>1</v>
      </c>
      <c r="AD1610" s="2">
        <v>2</v>
      </c>
      <c r="AE1610" s="2" t="s">
        <v>0</v>
      </c>
      <c r="AF1610" s="2">
        <v>1</v>
      </c>
      <c r="AG1610" s="2" t="s">
        <v>49</v>
      </c>
    </row>
    <row r="1611" spans="1:33" ht="204" x14ac:dyDescent="0.2">
      <c r="A1611" s="5" t="str">
        <f>HYPERLINK("http://www.patentics.cn/invokexml.do?sf=ShowPatent&amp;spn=TWI530120&amp;sv=c45d9710b93683f6c1bca4aaa09f3d2e","TWI530120")</f>
        <v>TWI530120</v>
      </c>
      <c r="B1611" s="3" t="s">
        <v>7372</v>
      </c>
      <c r="C1611" s="3" t="s">
        <v>7373</v>
      </c>
      <c r="D1611" s="3" t="s">
        <v>992</v>
      </c>
      <c r="E1611" s="3" t="s">
        <v>338</v>
      </c>
      <c r="F1611" s="3" t="s">
        <v>7374</v>
      </c>
      <c r="G1611" s="3" t="s">
        <v>7375</v>
      </c>
      <c r="H1611" s="3" t="s">
        <v>1714</v>
      </c>
      <c r="I1611" s="3" t="s">
        <v>1729</v>
      </c>
      <c r="J1611" s="3" t="s">
        <v>6630</v>
      </c>
      <c r="K1611" s="3" t="s">
        <v>58</v>
      </c>
      <c r="L1611" s="3" t="s">
        <v>289</v>
      </c>
      <c r="M1611" s="3" t="s">
        <v>0</v>
      </c>
      <c r="N1611" s="3" t="s">
        <v>0</v>
      </c>
      <c r="O1611" s="3">
        <v>37</v>
      </c>
      <c r="P1611" s="3">
        <v>18</v>
      </c>
      <c r="Q1611" s="3" t="s">
        <v>60</v>
      </c>
      <c r="R1611" s="3" t="s">
        <v>1913</v>
      </c>
      <c r="S1611" s="3">
        <v>3</v>
      </c>
      <c r="T1611" s="3">
        <v>0</v>
      </c>
      <c r="U1611" s="3">
        <v>3</v>
      </c>
      <c r="V1611" s="3">
        <v>3</v>
      </c>
      <c r="W1611" s="3">
        <v>0</v>
      </c>
      <c r="X1611" s="3" t="s">
        <v>147</v>
      </c>
      <c r="Y1611" s="3">
        <v>0</v>
      </c>
      <c r="Z1611" s="3">
        <v>0</v>
      </c>
      <c r="AA1611" s="3">
        <v>0</v>
      </c>
      <c r="AB1611" s="3">
        <v>0</v>
      </c>
      <c r="AC1611" s="3">
        <v>0</v>
      </c>
      <c r="AD1611" s="3">
        <v>0</v>
      </c>
      <c r="AE1611" s="3">
        <v>14</v>
      </c>
      <c r="AF1611" s="3" t="s">
        <v>0</v>
      </c>
      <c r="AG1611" s="3" t="s">
        <v>0</v>
      </c>
    </row>
    <row r="1612" spans="1:33" x14ac:dyDescent="0.2">
      <c r="A1612" s="4" t="str">
        <f>HYPERLINK("http://www.patentics.cn/invokexml.do?sf=ShowPatent&amp;spn=CN201928319&amp;sv=64638f89874914a18e3499f623719f50","CN201928319")</f>
        <v>CN201928319</v>
      </c>
      <c r="B1612" s="2" t="s">
        <v>7376</v>
      </c>
      <c r="C1612" s="2" t="s">
        <v>7377</v>
      </c>
      <c r="D1612" s="2" t="s">
        <v>38</v>
      </c>
      <c r="E1612" s="2" t="s">
        <v>38</v>
      </c>
      <c r="F1612" s="2" t="s">
        <v>7378</v>
      </c>
      <c r="G1612" s="2" t="s">
        <v>7378</v>
      </c>
      <c r="H1612" s="2" t="s">
        <v>0</v>
      </c>
      <c r="I1612" s="2" t="s">
        <v>7379</v>
      </c>
      <c r="J1612" s="2" t="s">
        <v>7380</v>
      </c>
      <c r="K1612" s="2" t="s">
        <v>270</v>
      </c>
      <c r="L1612" s="2" t="s">
        <v>7381</v>
      </c>
      <c r="M1612" s="2" t="s">
        <v>0</v>
      </c>
      <c r="N1612" s="2" t="s">
        <v>0</v>
      </c>
      <c r="O1612" s="2">
        <v>5</v>
      </c>
      <c r="P1612" s="2">
        <v>9</v>
      </c>
      <c r="Q1612" s="2" t="s">
        <v>1786</v>
      </c>
      <c r="R1612" s="2" t="s">
        <v>47</v>
      </c>
      <c r="S1612" s="2">
        <v>1</v>
      </c>
      <c r="T1612" s="2">
        <v>0</v>
      </c>
      <c r="U1612" s="2">
        <v>1</v>
      </c>
      <c r="V1612" s="2">
        <v>1</v>
      </c>
      <c r="W1612" s="2">
        <v>2</v>
      </c>
      <c r="X1612" s="2" t="s">
        <v>3685</v>
      </c>
      <c r="Y1612" s="2">
        <v>0</v>
      </c>
      <c r="Z1612" s="2">
        <v>2</v>
      </c>
      <c r="AA1612" s="2">
        <v>2</v>
      </c>
      <c r="AB1612" s="2">
        <v>2</v>
      </c>
      <c r="AC1612" s="2">
        <v>0</v>
      </c>
      <c r="AD1612" s="2">
        <v>0</v>
      </c>
      <c r="AE1612" s="2" t="s">
        <v>0</v>
      </c>
      <c r="AF1612" s="2">
        <v>1</v>
      </c>
      <c r="AG1612" s="2" t="s">
        <v>49</v>
      </c>
    </row>
    <row r="1613" spans="1:33" ht="38.25" x14ac:dyDescent="0.2">
      <c r="A1613" s="5" t="str">
        <f>HYPERLINK("http://www.patentics.cn/invokexml.do?sf=ShowPatent&amp;spn=US9218032&amp;sv=fd32905f23b23f2e0b0968f2a1afbdab","US9218032")</f>
        <v>US9218032</v>
      </c>
      <c r="B1613" s="3" t="s">
        <v>7382</v>
      </c>
      <c r="C1613" s="3" t="s">
        <v>7383</v>
      </c>
      <c r="D1613" s="3" t="s">
        <v>52</v>
      </c>
      <c r="E1613" s="3" t="s">
        <v>52</v>
      </c>
      <c r="F1613" s="3" t="s">
        <v>7384</v>
      </c>
      <c r="G1613" s="3" t="s">
        <v>7385</v>
      </c>
      <c r="H1613" s="3" t="s">
        <v>1500</v>
      </c>
      <c r="I1613" s="3" t="s">
        <v>1500</v>
      </c>
      <c r="J1613" s="3" t="s">
        <v>3256</v>
      </c>
      <c r="K1613" s="3" t="s">
        <v>7386</v>
      </c>
      <c r="L1613" s="3" t="s">
        <v>7387</v>
      </c>
      <c r="M1613" s="3" t="s">
        <v>555</v>
      </c>
      <c r="N1613" s="3" t="s">
        <v>2127</v>
      </c>
      <c r="O1613" s="3">
        <v>0</v>
      </c>
      <c r="P1613" s="3">
        <v>7</v>
      </c>
      <c r="Q1613" s="3" t="s">
        <v>60</v>
      </c>
      <c r="R1613" s="3" t="s">
        <v>61</v>
      </c>
      <c r="S1613" s="3">
        <v>21</v>
      </c>
      <c r="T1613" s="3">
        <v>0</v>
      </c>
      <c r="U1613" s="3">
        <v>21</v>
      </c>
      <c r="V1613" s="3">
        <v>15</v>
      </c>
      <c r="W1613" s="3">
        <v>0</v>
      </c>
      <c r="X1613" s="3" t="s">
        <v>147</v>
      </c>
      <c r="Y1613" s="3">
        <v>0</v>
      </c>
      <c r="Z1613" s="3">
        <v>0</v>
      </c>
      <c r="AA1613" s="3">
        <v>0</v>
      </c>
      <c r="AB1613" s="3">
        <v>0</v>
      </c>
      <c r="AC1613" s="3">
        <v>2</v>
      </c>
      <c r="AD1613" s="3">
        <v>2</v>
      </c>
      <c r="AE1613" s="3">
        <v>14</v>
      </c>
      <c r="AF1613" s="3" t="s">
        <v>0</v>
      </c>
      <c r="AG1613" s="3" t="s">
        <v>49</v>
      </c>
    </row>
    <row r="1614" spans="1:33" ht="25.5" x14ac:dyDescent="0.2">
      <c r="A1614" s="4" t="str">
        <f>HYPERLINK("http://www.patentics.cn/invokexml.do?sf=ShowPatent&amp;spn=CN102104442&amp;sv=dcc91de19f22adb2ef9d2c1be0fc4add","CN102104442")</f>
        <v>CN102104442</v>
      </c>
      <c r="B1614" s="2" t="s">
        <v>7388</v>
      </c>
      <c r="C1614" s="2" t="s">
        <v>7389</v>
      </c>
      <c r="D1614" s="2" t="s">
        <v>38</v>
      </c>
      <c r="E1614" s="2" t="s">
        <v>38</v>
      </c>
      <c r="F1614" s="2" t="s">
        <v>7390</v>
      </c>
      <c r="G1614" s="2" t="s">
        <v>7390</v>
      </c>
      <c r="H1614" s="2" t="s">
        <v>0</v>
      </c>
      <c r="I1614" s="2" t="s">
        <v>3051</v>
      </c>
      <c r="J1614" s="2" t="s">
        <v>4888</v>
      </c>
      <c r="K1614" s="2" t="s">
        <v>58</v>
      </c>
      <c r="L1614" s="2" t="s">
        <v>613</v>
      </c>
      <c r="M1614" s="2" t="s">
        <v>0</v>
      </c>
      <c r="N1614" s="2" t="s">
        <v>0</v>
      </c>
      <c r="O1614" s="2">
        <v>10</v>
      </c>
      <c r="P1614" s="2">
        <v>16</v>
      </c>
      <c r="Q1614" s="2" t="s">
        <v>46</v>
      </c>
      <c r="R1614" s="2" t="s">
        <v>47</v>
      </c>
      <c r="S1614" s="2">
        <v>1</v>
      </c>
      <c r="T1614" s="2">
        <v>0</v>
      </c>
      <c r="U1614" s="2">
        <v>1</v>
      </c>
      <c r="V1614" s="2">
        <v>1</v>
      </c>
      <c r="W1614" s="2">
        <v>5</v>
      </c>
      <c r="X1614" s="2" t="s">
        <v>7391</v>
      </c>
      <c r="Y1614" s="2">
        <v>0</v>
      </c>
      <c r="Z1614" s="2">
        <v>5</v>
      </c>
      <c r="AA1614" s="2">
        <v>4</v>
      </c>
      <c r="AB1614" s="2">
        <v>2</v>
      </c>
      <c r="AC1614" s="2">
        <v>0</v>
      </c>
      <c r="AD1614" s="2">
        <v>0</v>
      </c>
      <c r="AE1614" s="2" t="s">
        <v>0</v>
      </c>
      <c r="AF1614" s="2">
        <v>1</v>
      </c>
      <c r="AG1614" s="2" t="s">
        <v>2523</v>
      </c>
    </row>
    <row r="1615" spans="1:33" ht="76.5" x14ac:dyDescent="0.2">
      <c r="A1615" s="5" t="str">
        <f>HYPERLINK("http://www.patentics.cn/invokexml.do?sf=ShowPatent&amp;spn=WO2014139159&amp;sv=b1e4908ce04a6d5d0eaa706eede26681","WO2014139159")</f>
        <v>WO2014139159</v>
      </c>
      <c r="B1615" s="3" t="s">
        <v>7392</v>
      </c>
      <c r="C1615" s="3" t="s">
        <v>7393</v>
      </c>
      <c r="D1615" s="3" t="s">
        <v>7394</v>
      </c>
      <c r="E1615" s="3" t="s">
        <v>7395</v>
      </c>
      <c r="F1615" s="3" t="s">
        <v>7396</v>
      </c>
      <c r="G1615" s="3" t="s">
        <v>7397</v>
      </c>
      <c r="H1615" s="3" t="s">
        <v>3387</v>
      </c>
      <c r="I1615" s="3" t="s">
        <v>3387</v>
      </c>
      <c r="J1615" s="3" t="s">
        <v>1087</v>
      </c>
      <c r="K1615" s="3" t="s">
        <v>82</v>
      </c>
      <c r="L1615" s="3" t="s">
        <v>2594</v>
      </c>
      <c r="M1615" s="3" t="s">
        <v>0</v>
      </c>
      <c r="N1615" s="3" t="s">
        <v>0</v>
      </c>
      <c r="O1615" s="3">
        <v>20</v>
      </c>
      <c r="P1615" s="3">
        <v>7</v>
      </c>
      <c r="Q1615" s="3" t="s">
        <v>352</v>
      </c>
      <c r="R1615" s="3" t="s">
        <v>47</v>
      </c>
      <c r="S1615" s="3">
        <v>3</v>
      </c>
      <c r="T1615" s="3">
        <v>0</v>
      </c>
      <c r="U1615" s="3">
        <v>3</v>
      </c>
      <c r="V1615" s="3">
        <v>3</v>
      </c>
      <c r="W1615" s="3">
        <v>0</v>
      </c>
      <c r="X1615" s="3" t="s">
        <v>147</v>
      </c>
      <c r="Y1615" s="3">
        <v>0</v>
      </c>
      <c r="Z1615" s="3">
        <v>0</v>
      </c>
      <c r="AA1615" s="3">
        <v>0</v>
      </c>
      <c r="AB1615" s="3">
        <v>0</v>
      </c>
      <c r="AC1615" s="3">
        <v>2</v>
      </c>
      <c r="AD1615" s="3">
        <v>3</v>
      </c>
      <c r="AE1615" s="3">
        <v>14</v>
      </c>
      <c r="AF1615" s="3" t="s">
        <v>0</v>
      </c>
      <c r="AG1615" s="3" t="s">
        <v>0</v>
      </c>
    </row>
    <row r="1616" spans="1:33" ht="25.5" x14ac:dyDescent="0.2">
      <c r="A1616" s="4" t="str">
        <f>HYPERLINK("http://www.patentics.cn/invokexml.do?sf=ShowPatent&amp;spn=CN102104562&amp;sv=c854df7ba7763040c75d0893614aa66a","CN102104562")</f>
        <v>CN102104562</v>
      </c>
      <c r="B1616" s="2" t="s">
        <v>7398</v>
      </c>
      <c r="C1616" s="2" t="s">
        <v>7399</v>
      </c>
      <c r="D1616" s="2" t="s">
        <v>38</v>
      </c>
      <c r="E1616" s="2" t="s">
        <v>38</v>
      </c>
      <c r="F1616" s="2" t="s">
        <v>7400</v>
      </c>
      <c r="G1616" s="2" t="s">
        <v>7400</v>
      </c>
      <c r="H1616" s="2" t="s">
        <v>3051</v>
      </c>
      <c r="I1616" s="2" t="s">
        <v>3051</v>
      </c>
      <c r="J1616" s="2" t="s">
        <v>4888</v>
      </c>
      <c r="K1616" s="2" t="s">
        <v>58</v>
      </c>
      <c r="L1616" s="2" t="s">
        <v>3325</v>
      </c>
      <c r="M1616" s="2" t="s">
        <v>0</v>
      </c>
      <c r="N1616" s="2" t="s">
        <v>0</v>
      </c>
      <c r="O1616" s="2">
        <v>13</v>
      </c>
      <c r="P1616" s="2">
        <v>17</v>
      </c>
      <c r="Q1616" s="2" t="s">
        <v>46</v>
      </c>
      <c r="R1616" s="2" t="s">
        <v>47</v>
      </c>
      <c r="S1616" s="2">
        <v>0</v>
      </c>
      <c r="T1616" s="2">
        <v>0</v>
      </c>
      <c r="U1616" s="2">
        <v>0</v>
      </c>
      <c r="V1616" s="2">
        <v>0</v>
      </c>
      <c r="W1616" s="2">
        <v>4</v>
      </c>
      <c r="X1616" s="2" t="s">
        <v>4994</v>
      </c>
      <c r="Y1616" s="2">
        <v>1</v>
      </c>
      <c r="Z1616" s="2">
        <v>3</v>
      </c>
      <c r="AA1616" s="2">
        <v>4</v>
      </c>
      <c r="AB1616" s="2">
        <v>2</v>
      </c>
      <c r="AC1616" s="2">
        <v>1</v>
      </c>
      <c r="AD1616" s="2">
        <v>1</v>
      </c>
      <c r="AE1616" s="2" t="s">
        <v>0</v>
      </c>
      <c r="AF1616" s="2">
        <v>1</v>
      </c>
      <c r="AG1616" s="2" t="s">
        <v>49</v>
      </c>
    </row>
    <row r="1617" spans="1:33" ht="76.5" x14ac:dyDescent="0.2">
      <c r="A1617" s="5" t="str">
        <f>HYPERLINK("http://www.patentics.cn/invokexml.do?sf=ShowPatent&amp;spn=WO2014059658&amp;sv=25c4a3b9396d207cf0b8c718fcc2776b","WO2014059658")</f>
        <v>WO2014059658</v>
      </c>
      <c r="B1617" s="3" t="s">
        <v>7401</v>
      </c>
      <c r="C1617" s="3" t="s">
        <v>7402</v>
      </c>
      <c r="D1617" s="3" t="s">
        <v>7403</v>
      </c>
      <c r="E1617" s="3" t="s">
        <v>7404</v>
      </c>
      <c r="F1617" s="3" t="s">
        <v>7405</v>
      </c>
      <c r="G1617" s="3" t="s">
        <v>7406</v>
      </c>
      <c r="H1617" s="3" t="s">
        <v>0</v>
      </c>
      <c r="I1617" s="3" t="s">
        <v>7407</v>
      </c>
      <c r="J1617" s="3" t="s">
        <v>5094</v>
      </c>
      <c r="K1617" s="3" t="s">
        <v>84</v>
      </c>
      <c r="L1617" s="3" t="s">
        <v>401</v>
      </c>
      <c r="M1617" s="3" t="s">
        <v>0</v>
      </c>
      <c r="N1617" s="3" t="s">
        <v>0</v>
      </c>
      <c r="O1617" s="3">
        <v>1</v>
      </c>
      <c r="P1617" s="3">
        <v>27</v>
      </c>
      <c r="Q1617" s="3" t="s">
        <v>352</v>
      </c>
      <c r="R1617" s="3" t="s">
        <v>1387</v>
      </c>
      <c r="S1617" s="3">
        <v>4</v>
      </c>
      <c r="T1617" s="3">
        <v>0</v>
      </c>
      <c r="U1617" s="3">
        <v>4</v>
      </c>
      <c r="V1617" s="3">
        <v>4</v>
      </c>
      <c r="W1617" s="3">
        <v>0</v>
      </c>
      <c r="X1617" s="3" t="s">
        <v>147</v>
      </c>
      <c r="Y1617" s="3">
        <v>0</v>
      </c>
      <c r="Z1617" s="3">
        <v>0</v>
      </c>
      <c r="AA1617" s="3">
        <v>0</v>
      </c>
      <c r="AB1617" s="3">
        <v>0</v>
      </c>
      <c r="AC1617" s="3">
        <v>0</v>
      </c>
      <c r="AD1617" s="3">
        <v>0</v>
      </c>
      <c r="AE1617" s="3">
        <v>14</v>
      </c>
      <c r="AF1617" s="3" t="s">
        <v>0</v>
      </c>
      <c r="AG1617" s="3" t="s">
        <v>0</v>
      </c>
    </row>
    <row r="1618" spans="1:33" ht="25.5" x14ac:dyDescent="0.2">
      <c r="A1618" s="4" t="str">
        <f>HYPERLINK("http://www.patentics.cn/invokexml.do?sf=ShowPatent&amp;spn=CN102076008&amp;sv=cd73ca911544ccffe0f93b4ced1b2892","CN102076008")</f>
        <v>CN102076008</v>
      </c>
      <c r="B1618" s="2" t="s">
        <v>7408</v>
      </c>
      <c r="C1618" s="2" t="s">
        <v>7409</v>
      </c>
      <c r="D1618" s="2" t="s">
        <v>38</v>
      </c>
      <c r="E1618" s="2" t="s">
        <v>38</v>
      </c>
      <c r="F1618" s="2" t="s">
        <v>7410</v>
      </c>
      <c r="G1618" s="2" t="s">
        <v>7410</v>
      </c>
      <c r="H1618" s="2" t="s">
        <v>542</v>
      </c>
      <c r="I1618" s="2" t="s">
        <v>542</v>
      </c>
      <c r="J1618" s="2" t="s">
        <v>5100</v>
      </c>
      <c r="K1618" s="2" t="s">
        <v>82</v>
      </c>
      <c r="L1618" s="2" t="s">
        <v>2215</v>
      </c>
      <c r="M1618" s="2" t="s">
        <v>0</v>
      </c>
      <c r="N1618" s="2" t="s">
        <v>0</v>
      </c>
      <c r="O1618" s="2">
        <v>10</v>
      </c>
      <c r="P1618" s="2">
        <v>19</v>
      </c>
      <c r="Q1618" s="2" t="s">
        <v>46</v>
      </c>
      <c r="R1618" s="2" t="s">
        <v>47</v>
      </c>
      <c r="S1618" s="2">
        <v>0</v>
      </c>
      <c r="T1618" s="2">
        <v>0</v>
      </c>
      <c r="U1618" s="2">
        <v>0</v>
      </c>
      <c r="V1618" s="2">
        <v>0</v>
      </c>
      <c r="W1618" s="2">
        <v>1</v>
      </c>
      <c r="X1618" s="2" t="s">
        <v>1186</v>
      </c>
      <c r="Y1618" s="2">
        <v>0</v>
      </c>
      <c r="Z1618" s="2">
        <v>1</v>
      </c>
      <c r="AA1618" s="2">
        <v>1</v>
      </c>
      <c r="AB1618" s="2">
        <v>1</v>
      </c>
      <c r="AC1618" s="2">
        <v>1</v>
      </c>
      <c r="AD1618" s="2">
        <v>1</v>
      </c>
      <c r="AE1618" s="2" t="s">
        <v>0</v>
      </c>
      <c r="AF1618" s="2">
        <v>1</v>
      </c>
      <c r="AG1618" s="2" t="s">
        <v>49</v>
      </c>
    </row>
    <row r="1619" spans="1:33" ht="38.25" x14ac:dyDescent="0.2">
      <c r="A1619" s="5" t="str">
        <f>HYPERLINK("http://www.patentics.cn/invokexml.do?sf=ShowPatent&amp;spn=US9167458&amp;sv=04e4ed059ed6c38db32d1f0bd4678c37","US9167458")</f>
        <v>US9167458</v>
      </c>
      <c r="B1619" s="3" t="s">
        <v>7411</v>
      </c>
      <c r="C1619" s="3" t="s">
        <v>7412</v>
      </c>
      <c r="D1619" s="3" t="s">
        <v>52</v>
      </c>
      <c r="E1619" s="3" t="s">
        <v>52</v>
      </c>
      <c r="F1619" s="3" t="s">
        <v>7413</v>
      </c>
      <c r="G1619" s="3" t="s">
        <v>7414</v>
      </c>
      <c r="H1619" s="3" t="s">
        <v>3522</v>
      </c>
      <c r="I1619" s="3" t="s">
        <v>3522</v>
      </c>
      <c r="J1619" s="3" t="s">
        <v>1276</v>
      </c>
      <c r="K1619" s="3" t="s">
        <v>82</v>
      </c>
      <c r="L1619" s="3" t="s">
        <v>835</v>
      </c>
      <c r="M1619" s="3" t="s">
        <v>82</v>
      </c>
      <c r="N1619" s="3" t="s">
        <v>772</v>
      </c>
      <c r="O1619" s="3">
        <v>0</v>
      </c>
      <c r="P1619" s="3">
        <v>13</v>
      </c>
      <c r="Q1619" s="3" t="s">
        <v>60</v>
      </c>
      <c r="R1619" s="3" t="s">
        <v>61</v>
      </c>
      <c r="S1619" s="3">
        <v>15</v>
      </c>
      <c r="T1619" s="3">
        <v>0</v>
      </c>
      <c r="U1619" s="3">
        <v>15</v>
      </c>
      <c r="V1619" s="3">
        <v>8</v>
      </c>
      <c r="W1619" s="3">
        <v>0</v>
      </c>
      <c r="X1619" s="3" t="s">
        <v>147</v>
      </c>
      <c r="Y1619" s="3">
        <v>0</v>
      </c>
      <c r="Z1619" s="3">
        <v>0</v>
      </c>
      <c r="AA1619" s="3">
        <v>0</v>
      </c>
      <c r="AB1619" s="3">
        <v>0</v>
      </c>
      <c r="AC1619" s="3">
        <v>3</v>
      </c>
      <c r="AD1619" s="3">
        <v>3</v>
      </c>
      <c r="AE1619" s="3">
        <v>14</v>
      </c>
      <c r="AF1619" s="3" t="s">
        <v>0</v>
      </c>
      <c r="AG1619" s="3" t="s">
        <v>49</v>
      </c>
    </row>
    <row r="1620" spans="1:33" ht="38.25" x14ac:dyDescent="0.2">
      <c r="A1620" s="4" t="str">
        <f>HYPERLINK("http://www.patentics.cn/invokexml.do?sf=ShowPatent&amp;spn=CN102045695&amp;sv=31b2cacc8684ef7f3f98c895fe52cf87","CN102045695")</f>
        <v>CN102045695</v>
      </c>
      <c r="B1620" s="2" t="s">
        <v>7415</v>
      </c>
      <c r="C1620" s="2" t="s">
        <v>7416</v>
      </c>
      <c r="D1620" s="2" t="s">
        <v>38</v>
      </c>
      <c r="E1620" s="2" t="s">
        <v>38</v>
      </c>
      <c r="F1620" s="2" t="s">
        <v>7417</v>
      </c>
      <c r="G1620" s="2" t="s">
        <v>5171</v>
      </c>
      <c r="H1620" s="2" t="s">
        <v>1746</v>
      </c>
      <c r="I1620" s="2" t="s">
        <v>1746</v>
      </c>
      <c r="J1620" s="2" t="s">
        <v>2872</v>
      </c>
      <c r="K1620" s="2" t="s">
        <v>82</v>
      </c>
      <c r="L1620" s="2" t="s">
        <v>7340</v>
      </c>
      <c r="M1620" s="2" t="s">
        <v>0</v>
      </c>
      <c r="N1620" s="2" t="s">
        <v>0</v>
      </c>
      <c r="O1620" s="2">
        <v>13</v>
      </c>
      <c r="P1620" s="2">
        <v>12</v>
      </c>
      <c r="Q1620" s="2" t="s">
        <v>46</v>
      </c>
      <c r="R1620" s="2" t="s">
        <v>47</v>
      </c>
      <c r="S1620" s="2">
        <v>0</v>
      </c>
      <c r="T1620" s="2">
        <v>0</v>
      </c>
      <c r="U1620" s="2">
        <v>0</v>
      </c>
      <c r="V1620" s="2">
        <v>0</v>
      </c>
      <c r="W1620" s="2">
        <v>11</v>
      </c>
      <c r="X1620" s="2" t="s">
        <v>7418</v>
      </c>
      <c r="Y1620" s="2">
        <v>1</v>
      </c>
      <c r="Z1620" s="2">
        <v>10</v>
      </c>
      <c r="AA1620" s="2">
        <v>4</v>
      </c>
      <c r="AB1620" s="2">
        <v>3</v>
      </c>
      <c r="AC1620" s="2">
        <v>1</v>
      </c>
      <c r="AD1620" s="2">
        <v>1</v>
      </c>
      <c r="AE1620" s="2" t="s">
        <v>0</v>
      </c>
      <c r="AF1620" s="2">
        <v>1</v>
      </c>
      <c r="AG1620" s="2" t="s">
        <v>49</v>
      </c>
    </row>
    <row r="1621" spans="1:33" ht="25.5" x14ac:dyDescent="0.2">
      <c r="A1621" s="5" t="str">
        <f>HYPERLINK("http://www.patentics.cn/invokexml.do?sf=ShowPatent&amp;spn=CN104303484B&amp;sv=b4d899e399d7daf72463359d5bed94f4","CN104303484B")</f>
        <v>CN104303484B</v>
      </c>
      <c r="B1621" s="3" t="s">
        <v>7419</v>
      </c>
      <c r="C1621" s="3" t="s">
        <v>7420</v>
      </c>
      <c r="D1621" s="3" t="s">
        <v>338</v>
      </c>
      <c r="E1621" s="3" t="s">
        <v>338</v>
      </c>
      <c r="F1621" s="3" t="s">
        <v>7421</v>
      </c>
      <c r="G1621" s="3" t="s">
        <v>7421</v>
      </c>
      <c r="H1621" s="3" t="s">
        <v>7422</v>
      </c>
      <c r="I1621" s="3" t="s">
        <v>4550</v>
      </c>
      <c r="J1621" s="3" t="s">
        <v>2177</v>
      </c>
      <c r="K1621" s="3" t="s">
        <v>58</v>
      </c>
      <c r="L1621" s="3" t="s">
        <v>722</v>
      </c>
      <c r="M1621" s="3" t="s">
        <v>0</v>
      </c>
      <c r="N1621" s="3" t="s">
        <v>0</v>
      </c>
      <c r="O1621" s="3">
        <v>40</v>
      </c>
      <c r="P1621" s="3">
        <v>15</v>
      </c>
      <c r="Q1621" s="3" t="s">
        <v>60</v>
      </c>
      <c r="R1621" s="3" t="s">
        <v>61</v>
      </c>
      <c r="S1621" s="3">
        <v>4</v>
      </c>
      <c r="T1621" s="3">
        <v>0</v>
      </c>
      <c r="U1621" s="3">
        <v>4</v>
      </c>
      <c r="V1621" s="3">
        <v>4</v>
      </c>
      <c r="W1621" s="3">
        <v>0</v>
      </c>
      <c r="X1621" s="3" t="s">
        <v>147</v>
      </c>
      <c r="Y1621" s="3">
        <v>0</v>
      </c>
      <c r="Z1621" s="3">
        <v>0</v>
      </c>
      <c r="AA1621" s="3">
        <v>0</v>
      </c>
      <c r="AB1621" s="3">
        <v>0</v>
      </c>
      <c r="AC1621" s="3">
        <v>0</v>
      </c>
      <c r="AD1621" s="3">
        <v>0</v>
      </c>
      <c r="AE1621" s="3">
        <v>14</v>
      </c>
      <c r="AF1621" s="3" t="s">
        <v>0</v>
      </c>
      <c r="AG1621" s="3" t="s">
        <v>49</v>
      </c>
    </row>
    <row r="1622" spans="1:33" ht="25.5" x14ac:dyDescent="0.2">
      <c r="A1622" s="4" t="str">
        <f>HYPERLINK("http://www.patentics.cn/invokexml.do?sf=ShowPatent&amp;spn=CN102045803&amp;sv=e1797d91e0539a3293f9be42d84240ff","CN102045803")</f>
        <v>CN102045803</v>
      </c>
      <c r="B1622" s="2" t="s">
        <v>7423</v>
      </c>
      <c r="C1622" s="2" t="s">
        <v>7424</v>
      </c>
      <c r="D1622" s="2" t="s">
        <v>38</v>
      </c>
      <c r="E1622" s="2" t="s">
        <v>38</v>
      </c>
      <c r="F1622" s="2" t="s">
        <v>7425</v>
      </c>
      <c r="G1622" s="2" t="s">
        <v>7332</v>
      </c>
      <c r="H1622" s="2" t="s">
        <v>7426</v>
      </c>
      <c r="I1622" s="2" t="s">
        <v>7426</v>
      </c>
      <c r="J1622" s="2" t="s">
        <v>2872</v>
      </c>
      <c r="K1622" s="2" t="s">
        <v>82</v>
      </c>
      <c r="L1622" s="2" t="s">
        <v>1560</v>
      </c>
      <c r="M1622" s="2" t="s">
        <v>0</v>
      </c>
      <c r="N1622" s="2" t="s">
        <v>0</v>
      </c>
      <c r="O1622" s="2">
        <v>15</v>
      </c>
      <c r="P1622" s="2">
        <v>28</v>
      </c>
      <c r="Q1622" s="2" t="s">
        <v>46</v>
      </c>
      <c r="R1622" s="2" t="s">
        <v>47</v>
      </c>
      <c r="S1622" s="2">
        <v>0</v>
      </c>
      <c r="T1622" s="2">
        <v>0</v>
      </c>
      <c r="U1622" s="2">
        <v>0</v>
      </c>
      <c r="V1622" s="2">
        <v>0</v>
      </c>
      <c r="W1622" s="2">
        <v>6</v>
      </c>
      <c r="X1622" s="2" t="s">
        <v>3234</v>
      </c>
      <c r="Y1622" s="2">
        <v>0</v>
      </c>
      <c r="Z1622" s="2">
        <v>6</v>
      </c>
      <c r="AA1622" s="2">
        <v>2</v>
      </c>
      <c r="AB1622" s="2">
        <v>1</v>
      </c>
      <c r="AC1622" s="2">
        <v>2</v>
      </c>
      <c r="AD1622" s="2">
        <v>2</v>
      </c>
      <c r="AE1622" s="2" t="s">
        <v>0</v>
      </c>
      <c r="AF1622" s="2">
        <v>1</v>
      </c>
      <c r="AG1622" s="2" t="s">
        <v>49</v>
      </c>
    </row>
    <row r="1623" spans="1:33" ht="76.5" x14ac:dyDescent="0.2">
      <c r="A1623" s="5" t="str">
        <f>HYPERLINK("http://www.patentics.cn/invokexml.do?sf=ShowPatent&amp;spn=WO2014117390&amp;sv=195d0620ac7f0546784674b436eb50ad","WO2014117390")</f>
        <v>WO2014117390</v>
      </c>
      <c r="B1623" s="3" t="s">
        <v>7427</v>
      </c>
      <c r="C1623" s="3" t="s">
        <v>7428</v>
      </c>
      <c r="D1623" s="3" t="s">
        <v>7429</v>
      </c>
      <c r="E1623" s="3" t="s">
        <v>7430</v>
      </c>
      <c r="F1623" s="3" t="s">
        <v>7431</v>
      </c>
      <c r="G1623" s="3" t="s">
        <v>5659</v>
      </c>
      <c r="H1623" s="3" t="s">
        <v>0</v>
      </c>
      <c r="I1623" s="3" t="s">
        <v>7432</v>
      </c>
      <c r="J1623" s="3" t="s">
        <v>2580</v>
      </c>
      <c r="K1623" s="3" t="s">
        <v>58</v>
      </c>
      <c r="L1623" s="3" t="s">
        <v>7433</v>
      </c>
      <c r="M1623" s="3" t="s">
        <v>0</v>
      </c>
      <c r="N1623" s="3" t="s">
        <v>0</v>
      </c>
      <c r="O1623" s="3">
        <v>60</v>
      </c>
      <c r="P1623" s="3">
        <v>29</v>
      </c>
      <c r="Q1623" s="3" t="s">
        <v>352</v>
      </c>
      <c r="R1623" s="3" t="s">
        <v>1387</v>
      </c>
      <c r="S1623" s="3">
        <v>3</v>
      </c>
      <c r="T1623" s="3">
        <v>0</v>
      </c>
      <c r="U1623" s="3">
        <v>3</v>
      </c>
      <c r="V1623" s="3">
        <v>3</v>
      </c>
      <c r="W1623" s="3">
        <v>5</v>
      </c>
      <c r="X1623" s="3" t="s">
        <v>606</v>
      </c>
      <c r="Y1623" s="3">
        <v>1</v>
      </c>
      <c r="Z1623" s="3">
        <v>4</v>
      </c>
      <c r="AA1623" s="3">
        <v>3</v>
      </c>
      <c r="AB1623" s="3">
        <v>1</v>
      </c>
      <c r="AC1623" s="3">
        <v>0</v>
      </c>
      <c r="AD1623" s="3">
        <v>0</v>
      </c>
      <c r="AE1623" s="3">
        <v>14</v>
      </c>
      <c r="AF1623" s="3" t="s">
        <v>0</v>
      </c>
      <c r="AG1623" s="3" t="s">
        <v>0</v>
      </c>
    </row>
    <row r="1624" spans="1:33" x14ac:dyDescent="0.2">
      <c r="A1624" s="4" t="str">
        <f>HYPERLINK("http://www.patentics.cn/invokexml.do?sf=ShowPatent&amp;spn=CN102036362&amp;sv=bafeb6528170b11349ebbfbc68d65bc6","CN102036362")</f>
        <v>CN102036362</v>
      </c>
      <c r="B1624" s="2" t="s">
        <v>7434</v>
      </c>
      <c r="C1624" s="2" t="s">
        <v>7435</v>
      </c>
      <c r="D1624" s="2" t="s">
        <v>38</v>
      </c>
      <c r="E1624" s="2" t="s">
        <v>38</v>
      </c>
      <c r="F1624" s="2" t="s">
        <v>7436</v>
      </c>
      <c r="G1624" s="2" t="s">
        <v>7436</v>
      </c>
      <c r="H1624" s="2" t="s">
        <v>6416</v>
      </c>
      <c r="I1624" s="2" t="s">
        <v>6416</v>
      </c>
      <c r="J1624" s="2" t="s">
        <v>2997</v>
      </c>
      <c r="K1624" s="2" t="s">
        <v>82</v>
      </c>
      <c r="L1624" s="2" t="s">
        <v>2222</v>
      </c>
      <c r="M1624" s="2" t="s">
        <v>0</v>
      </c>
      <c r="N1624" s="2" t="s">
        <v>0</v>
      </c>
      <c r="O1624" s="2">
        <v>10</v>
      </c>
      <c r="P1624" s="2">
        <v>8</v>
      </c>
      <c r="Q1624" s="2" t="s">
        <v>46</v>
      </c>
      <c r="R1624" s="2" t="s">
        <v>47</v>
      </c>
      <c r="S1624" s="2">
        <v>0</v>
      </c>
      <c r="T1624" s="2">
        <v>0</v>
      </c>
      <c r="U1624" s="2">
        <v>0</v>
      </c>
      <c r="V1624" s="2">
        <v>0</v>
      </c>
      <c r="W1624" s="2">
        <v>2</v>
      </c>
      <c r="X1624" s="2" t="s">
        <v>2906</v>
      </c>
      <c r="Y1624" s="2">
        <v>0</v>
      </c>
      <c r="Z1624" s="2">
        <v>2</v>
      </c>
      <c r="AA1624" s="2">
        <v>2</v>
      </c>
      <c r="AB1624" s="2">
        <v>2</v>
      </c>
      <c r="AC1624" s="2">
        <v>2</v>
      </c>
      <c r="AD1624" s="2">
        <v>2</v>
      </c>
      <c r="AE1624" s="2" t="s">
        <v>0</v>
      </c>
      <c r="AF1624" s="2">
        <v>1</v>
      </c>
      <c r="AG1624" s="2" t="s">
        <v>49</v>
      </c>
    </row>
    <row r="1625" spans="1:33" ht="153" x14ac:dyDescent="0.2">
      <c r="A1625" s="5" t="str">
        <f>HYPERLINK("http://www.patentics.cn/invokexml.do?sf=ShowPatent&amp;spn=WO2014000264&amp;sv=74dce42ae34f58ec651f8dd3720e6a69","WO2014000264")</f>
        <v>WO2014000264</v>
      </c>
      <c r="B1625" s="3" t="s">
        <v>7437</v>
      </c>
      <c r="C1625" s="3" t="s">
        <v>7438</v>
      </c>
      <c r="D1625" s="3" t="s">
        <v>7439</v>
      </c>
      <c r="E1625" s="3" t="s">
        <v>7440</v>
      </c>
      <c r="F1625" s="3" t="s">
        <v>7441</v>
      </c>
      <c r="G1625" s="3" t="s">
        <v>7442</v>
      </c>
      <c r="H1625" s="3" t="s">
        <v>3398</v>
      </c>
      <c r="I1625" s="3" t="s">
        <v>3398</v>
      </c>
      <c r="J1625" s="3" t="s">
        <v>3403</v>
      </c>
      <c r="K1625" s="3" t="s">
        <v>82</v>
      </c>
      <c r="L1625" s="3" t="s">
        <v>4546</v>
      </c>
      <c r="M1625" s="3" t="s">
        <v>0</v>
      </c>
      <c r="N1625" s="3" t="s">
        <v>0</v>
      </c>
      <c r="O1625" s="3">
        <v>20</v>
      </c>
      <c r="P1625" s="3">
        <v>6</v>
      </c>
      <c r="Q1625" s="3" t="s">
        <v>352</v>
      </c>
      <c r="R1625" s="3" t="s">
        <v>47</v>
      </c>
      <c r="S1625" s="3">
        <v>2</v>
      </c>
      <c r="T1625" s="3">
        <v>1</v>
      </c>
      <c r="U1625" s="3">
        <v>1</v>
      </c>
      <c r="V1625" s="3">
        <v>2</v>
      </c>
      <c r="W1625" s="3">
        <v>0</v>
      </c>
      <c r="X1625" s="3" t="s">
        <v>147</v>
      </c>
      <c r="Y1625" s="3">
        <v>0</v>
      </c>
      <c r="Z1625" s="3">
        <v>0</v>
      </c>
      <c r="AA1625" s="3">
        <v>0</v>
      </c>
      <c r="AB1625" s="3">
        <v>0</v>
      </c>
      <c r="AC1625" s="3">
        <v>1</v>
      </c>
      <c r="AD1625" s="3">
        <v>1</v>
      </c>
      <c r="AE1625" s="3">
        <v>14</v>
      </c>
      <c r="AF1625" s="3" t="s">
        <v>0</v>
      </c>
      <c r="AG1625" s="3" t="s">
        <v>0</v>
      </c>
    </row>
    <row r="1626" spans="1:33" ht="38.25" x14ac:dyDescent="0.2">
      <c r="A1626" s="4" t="str">
        <f>HYPERLINK("http://www.patentics.cn/invokexml.do?sf=ShowPatent&amp;spn=CN102025528&amp;sv=5d8166165b9dcbbdbe1ff5ad981fd77d","CN102025528")</f>
        <v>CN102025528</v>
      </c>
      <c r="B1626" s="2" t="s">
        <v>7443</v>
      </c>
      <c r="C1626" s="2" t="s">
        <v>7444</v>
      </c>
      <c r="D1626" s="2" t="s">
        <v>38</v>
      </c>
      <c r="E1626" s="2" t="s">
        <v>38</v>
      </c>
      <c r="F1626" s="2" t="s">
        <v>7445</v>
      </c>
      <c r="G1626" s="2" t="s">
        <v>7446</v>
      </c>
      <c r="H1626" s="2" t="s">
        <v>2866</v>
      </c>
      <c r="I1626" s="2" t="s">
        <v>2866</v>
      </c>
      <c r="J1626" s="2" t="s">
        <v>2312</v>
      </c>
      <c r="K1626" s="2" t="s">
        <v>58</v>
      </c>
      <c r="L1626" s="2" t="s">
        <v>752</v>
      </c>
      <c r="M1626" s="2" t="s">
        <v>0</v>
      </c>
      <c r="N1626" s="2" t="s">
        <v>0</v>
      </c>
      <c r="O1626" s="2">
        <v>11</v>
      </c>
      <c r="P1626" s="2">
        <v>13</v>
      </c>
      <c r="Q1626" s="2" t="s">
        <v>46</v>
      </c>
      <c r="R1626" s="2" t="s">
        <v>47</v>
      </c>
      <c r="S1626" s="2">
        <v>0</v>
      </c>
      <c r="T1626" s="2">
        <v>0</v>
      </c>
      <c r="U1626" s="2">
        <v>0</v>
      </c>
      <c r="V1626" s="2">
        <v>0</v>
      </c>
      <c r="W1626" s="2">
        <v>1</v>
      </c>
      <c r="X1626" s="2" t="s">
        <v>933</v>
      </c>
      <c r="Y1626" s="2">
        <v>0</v>
      </c>
      <c r="Z1626" s="2">
        <v>1</v>
      </c>
      <c r="AA1626" s="2">
        <v>1</v>
      </c>
      <c r="AB1626" s="2">
        <v>1</v>
      </c>
      <c r="AC1626" s="2">
        <v>6</v>
      </c>
      <c r="AD1626" s="2">
        <v>4</v>
      </c>
      <c r="AE1626" s="2" t="s">
        <v>0</v>
      </c>
      <c r="AF1626" s="2">
        <v>1</v>
      </c>
      <c r="AG1626" s="2" t="s">
        <v>49</v>
      </c>
    </row>
    <row r="1627" spans="1:33" ht="38.25" x14ac:dyDescent="0.2">
      <c r="A1627" s="5" t="str">
        <f>HYPERLINK("http://www.patentics.cn/invokexml.do?sf=ShowPatent&amp;spn=WO2014053074&amp;sv=4eba0a14bf3da26725cc52b09b9d81aa","WO2014053074")</f>
        <v>WO2014053074</v>
      </c>
      <c r="B1627" s="3" t="s">
        <v>7447</v>
      </c>
      <c r="C1627" s="3" t="s">
        <v>7448</v>
      </c>
      <c r="D1627" s="3" t="s">
        <v>7449</v>
      </c>
      <c r="E1627" s="3" t="s">
        <v>7450</v>
      </c>
      <c r="F1627" s="3" t="s">
        <v>7451</v>
      </c>
      <c r="G1627" s="3" t="s">
        <v>7452</v>
      </c>
      <c r="H1627" s="3" t="s">
        <v>7453</v>
      </c>
      <c r="I1627" s="3" t="s">
        <v>7453</v>
      </c>
      <c r="J1627" s="3" t="s">
        <v>5646</v>
      </c>
      <c r="K1627" s="3" t="s">
        <v>58</v>
      </c>
      <c r="L1627" s="3" t="s">
        <v>4145</v>
      </c>
      <c r="M1627" s="3" t="s">
        <v>0</v>
      </c>
      <c r="N1627" s="3" t="s">
        <v>0</v>
      </c>
      <c r="O1627" s="3">
        <v>19</v>
      </c>
      <c r="P1627" s="3">
        <v>13</v>
      </c>
      <c r="Q1627" s="3" t="s">
        <v>352</v>
      </c>
      <c r="R1627" s="3" t="s">
        <v>47</v>
      </c>
      <c r="S1627" s="3">
        <v>4</v>
      </c>
      <c r="T1627" s="3">
        <v>0</v>
      </c>
      <c r="U1627" s="3">
        <v>4</v>
      </c>
      <c r="V1627" s="3">
        <v>4</v>
      </c>
      <c r="W1627" s="3">
        <v>0</v>
      </c>
      <c r="X1627" s="3" t="s">
        <v>147</v>
      </c>
      <c r="Y1627" s="3">
        <v>0</v>
      </c>
      <c r="Z1627" s="3">
        <v>0</v>
      </c>
      <c r="AA1627" s="3">
        <v>0</v>
      </c>
      <c r="AB1627" s="3">
        <v>0</v>
      </c>
      <c r="AC1627" s="3">
        <v>4</v>
      </c>
      <c r="AD1627" s="3">
        <v>5</v>
      </c>
      <c r="AE1627" s="3">
        <v>14</v>
      </c>
      <c r="AF1627" s="3" t="s">
        <v>0</v>
      </c>
      <c r="AG1627" s="3" t="s">
        <v>0</v>
      </c>
    </row>
    <row r="1628" spans="1:33" ht="25.5" x14ac:dyDescent="0.2">
      <c r="A1628" s="4" t="str">
        <f>HYPERLINK("http://www.patentics.cn/invokexml.do?sf=ShowPatent&amp;spn=CN102014394&amp;sv=7968aa89b94ef47e3e4de900223df404","CN102014394")</f>
        <v>CN102014394</v>
      </c>
      <c r="B1628" s="2" t="s">
        <v>7454</v>
      </c>
      <c r="C1628" s="2" t="s">
        <v>7455</v>
      </c>
      <c r="D1628" s="2" t="s">
        <v>38</v>
      </c>
      <c r="E1628" s="2" t="s">
        <v>38</v>
      </c>
      <c r="F1628" s="2" t="s">
        <v>7456</v>
      </c>
      <c r="G1628" s="2" t="s">
        <v>7457</v>
      </c>
      <c r="H1628" s="2" t="s">
        <v>7458</v>
      </c>
      <c r="I1628" s="2" t="s">
        <v>7458</v>
      </c>
      <c r="J1628" s="2" t="s">
        <v>7459</v>
      </c>
      <c r="K1628" s="2" t="s">
        <v>82</v>
      </c>
      <c r="L1628" s="2" t="s">
        <v>2712</v>
      </c>
      <c r="M1628" s="2" t="s">
        <v>0</v>
      </c>
      <c r="N1628" s="2" t="s">
        <v>0</v>
      </c>
      <c r="O1628" s="2">
        <v>10</v>
      </c>
      <c r="P1628" s="2">
        <v>16</v>
      </c>
      <c r="Q1628" s="2" t="s">
        <v>46</v>
      </c>
      <c r="R1628" s="2" t="s">
        <v>47</v>
      </c>
      <c r="S1628" s="2">
        <v>0</v>
      </c>
      <c r="T1628" s="2">
        <v>0</v>
      </c>
      <c r="U1628" s="2">
        <v>0</v>
      </c>
      <c r="V1628" s="2">
        <v>0</v>
      </c>
      <c r="W1628" s="2">
        <v>2</v>
      </c>
      <c r="X1628" s="2" t="s">
        <v>2120</v>
      </c>
      <c r="Y1628" s="2">
        <v>0</v>
      </c>
      <c r="Z1628" s="2">
        <v>2</v>
      </c>
      <c r="AA1628" s="2">
        <v>2</v>
      </c>
      <c r="AB1628" s="2">
        <v>2</v>
      </c>
      <c r="AC1628" s="2">
        <v>1</v>
      </c>
      <c r="AD1628" s="2">
        <v>1</v>
      </c>
      <c r="AE1628" s="2" t="s">
        <v>0</v>
      </c>
      <c r="AF1628" s="2">
        <v>1</v>
      </c>
      <c r="AG1628" s="2" t="s">
        <v>49</v>
      </c>
    </row>
    <row r="1629" spans="1:33" ht="76.5" x14ac:dyDescent="0.2">
      <c r="A1629" s="5" t="str">
        <f>HYPERLINK("http://www.patentics.cn/invokexml.do?sf=ShowPatent&amp;spn=US8873435&amp;sv=57091e2c05af69ab5d3d512f54c0ebe7","US8873435")</f>
        <v>US8873435</v>
      </c>
      <c r="B1629" s="3" t="s">
        <v>4173</v>
      </c>
      <c r="C1629" s="3" t="s">
        <v>4174</v>
      </c>
      <c r="D1629" s="3" t="s">
        <v>52</v>
      </c>
      <c r="E1629" s="3" t="s">
        <v>52</v>
      </c>
      <c r="F1629" s="3" t="s">
        <v>3571</v>
      </c>
      <c r="G1629" s="3" t="s">
        <v>3572</v>
      </c>
      <c r="H1629" s="3" t="s">
        <v>1472</v>
      </c>
      <c r="I1629" s="3" t="s">
        <v>1472</v>
      </c>
      <c r="J1629" s="3" t="s">
        <v>489</v>
      </c>
      <c r="K1629" s="3" t="s">
        <v>70</v>
      </c>
      <c r="L1629" s="3" t="s">
        <v>467</v>
      </c>
      <c r="M1629" s="3" t="s">
        <v>82</v>
      </c>
      <c r="N1629" s="3" t="s">
        <v>977</v>
      </c>
      <c r="O1629" s="3">
        <v>0</v>
      </c>
      <c r="P1629" s="3">
        <v>11</v>
      </c>
      <c r="Q1629" s="3" t="s">
        <v>60</v>
      </c>
      <c r="R1629" s="3" t="s">
        <v>61</v>
      </c>
      <c r="S1629" s="3">
        <v>11</v>
      </c>
      <c r="T1629" s="3">
        <v>0</v>
      </c>
      <c r="U1629" s="3">
        <v>11</v>
      </c>
      <c r="V1629" s="3">
        <v>6</v>
      </c>
      <c r="W1629" s="3">
        <v>0</v>
      </c>
      <c r="X1629" s="3" t="s">
        <v>147</v>
      </c>
      <c r="Y1629" s="3">
        <v>0</v>
      </c>
      <c r="Z1629" s="3">
        <v>0</v>
      </c>
      <c r="AA1629" s="3">
        <v>0</v>
      </c>
      <c r="AB1629" s="3">
        <v>0</v>
      </c>
      <c r="AC1629" s="3">
        <v>3</v>
      </c>
      <c r="AD1629" s="3">
        <v>3</v>
      </c>
      <c r="AE1629" s="3">
        <v>14</v>
      </c>
      <c r="AF1629" s="3" t="s">
        <v>0</v>
      </c>
      <c r="AG1629" s="3" t="s">
        <v>49</v>
      </c>
    </row>
    <row r="1630" spans="1:33" ht="25.5" x14ac:dyDescent="0.2">
      <c r="A1630" s="4" t="str">
        <f>HYPERLINK("http://www.patentics.cn/invokexml.do?sf=ShowPatent&amp;spn=CN101998268&amp;sv=4d20aed34d507dad6715ff02818cb2d5","CN101998268")</f>
        <v>CN101998268</v>
      </c>
      <c r="B1630" s="2" t="s">
        <v>7460</v>
      </c>
      <c r="C1630" s="2" t="s">
        <v>7461</v>
      </c>
      <c r="D1630" s="2" t="s">
        <v>38</v>
      </c>
      <c r="E1630" s="2" t="s">
        <v>38</v>
      </c>
      <c r="F1630" s="2" t="s">
        <v>7462</v>
      </c>
      <c r="G1630" s="2" t="s">
        <v>7463</v>
      </c>
      <c r="H1630" s="2" t="s">
        <v>647</v>
      </c>
      <c r="I1630" s="2" t="s">
        <v>647</v>
      </c>
      <c r="J1630" s="2" t="s">
        <v>4778</v>
      </c>
      <c r="K1630" s="2" t="s">
        <v>82</v>
      </c>
      <c r="L1630" s="2" t="s">
        <v>1767</v>
      </c>
      <c r="M1630" s="2" t="s">
        <v>0</v>
      </c>
      <c r="N1630" s="2" t="s">
        <v>0</v>
      </c>
      <c r="O1630" s="2">
        <v>10</v>
      </c>
      <c r="P1630" s="2">
        <v>15</v>
      </c>
      <c r="Q1630" s="2" t="s">
        <v>46</v>
      </c>
      <c r="R1630" s="2" t="s">
        <v>47</v>
      </c>
      <c r="S1630" s="2">
        <v>0</v>
      </c>
      <c r="T1630" s="2">
        <v>0</v>
      </c>
      <c r="U1630" s="2">
        <v>0</v>
      </c>
      <c r="V1630" s="2">
        <v>0</v>
      </c>
      <c r="W1630" s="2">
        <v>1</v>
      </c>
      <c r="X1630" s="2" t="s">
        <v>403</v>
      </c>
      <c r="Y1630" s="2">
        <v>0</v>
      </c>
      <c r="Z1630" s="2">
        <v>1</v>
      </c>
      <c r="AA1630" s="2">
        <v>1</v>
      </c>
      <c r="AB1630" s="2">
        <v>1</v>
      </c>
      <c r="AC1630" s="2">
        <v>1</v>
      </c>
      <c r="AD1630" s="2">
        <v>2</v>
      </c>
      <c r="AE1630" s="2" t="s">
        <v>0</v>
      </c>
      <c r="AF1630" s="2">
        <v>1</v>
      </c>
      <c r="AG1630" s="2" t="s">
        <v>547</v>
      </c>
    </row>
    <row r="1631" spans="1:33" ht="51" x14ac:dyDescent="0.2">
      <c r="A1631" s="5" t="str">
        <f>HYPERLINK("http://www.patentics.cn/invokexml.do?sf=ShowPatent&amp;spn=US9548869&amp;sv=9a7c0312113f7ede7b50c42c4f6d169e","US9548869")</f>
        <v>US9548869</v>
      </c>
      <c r="B1631" s="3" t="s">
        <v>7464</v>
      </c>
      <c r="C1631" s="3" t="s">
        <v>7465</v>
      </c>
      <c r="D1631" s="3" t="s">
        <v>52</v>
      </c>
      <c r="E1631" s="3" t="s">
        <v>52</v>
      </c>
      <c r="F1631" s="3" t="s">
        <v>7466</v>
      </c>
      <c r="G1631" s="3" t="s">
        <v>7466</v>
      </c>
      <c r="H1631" s="3" t="s">
        <v>957</v>
      </c>
      <c r="I1631" s="3" t="s">
        <v>7467</v>
      </c>
      <c r="J1631" s="3" t="s">
        <v>7468</v>
      </c>
      <c r="K1631" s="3" t="s">
        <v>58</v>
      </c>
      <c r="L1631" s="3" t="s">
        <v>4508</v>
      </c>
      <c r="M1631" s="3" t="s">
        <v>58</v>
      </c>
      <c r="N1631" s="3" t="s">
        <v>7469</v>
      </c>
      <c r="O1631" s="3">
        <v>0</v>
      </c>
      <c r="P1631" s="3">
        <v>18</v>
      </c>
      <c r="Q1631" s="3" t="s">
        <v>60</v>
      </c>
      <c r="R1631" s="3" t="s">
        <v>61</v>
      </c>
      <c r="S1631" s="3">
        <v>18</v>
      </c>
      <c r="T1631" s="3">
        <v>4</v>
      </c>
      <c r="U1631" s="3">
        <v>14</v>
      </c>
      <c r="V1631" s="3">
        <v>11</v>
      </c>
      <c r="W1631" s="3">
        <v>0</v>
      </c>
      <c r="X1631" s="3" t="s">
        <v>147</v>
      </c>
      <c r="Y1631" s="3">
        <v>0</v>
      </c>
      <c r="Z1631" s="3">
        <v>0</v>
      </c>
      <c r="AA1631" s="3">
        <v>0</v>
      </c>
      <c r="AB1631" s="3">
        <v>0</v>
      </c>
      <c r="AC1631" s="3">
        <v>8</v>
      </c>
      <c r="AD1631" s="3">
        <v>5</v>
      </c>
      <c r="AE1631" s="3">
        <v>14</v>
      </c>
      <c r="AF1631" s="3" t="s">
        <v>0</v>
      </c>
      <c r="AG1631" s="3" t="s">
        <v>49</v>
      </c>
    </row>
    <row r="1632" spans="1:33" ht="25.5" x14ac:dyDescent="0.2">
      <c r="A1632" s="4" t="str">
        <f>HYPERLINK("http://www.patentics.cn/invokexml.do?sf=ShowPatent&amp;spn=CN101990165&amp;sv=1e69a0e7bd21288348ea5aced0b80303","CN101990165")</f>
        <v>CN101990165</v>
      </c>
      <c r="B1632" s="2" t="s">
        <v>7470</v>
      </c>
      <c r="C1632" s="2" t="s">
        <v>7471</v>
      </c>
      <c r="D1632" s="2" t="s">
        <v>38</v>
      </c>
      <c r="E1632" s="2" t="s">
        <v>38</v>
      </c>
      <c r="F1632" s="2" t="s">
        <v>7472</v>
      </c>
      <c r="G1632" s="2" t="s">
        <v>7473</v>
      </c>
      <c r="H1632" s="2" t="s">
        <v>7474</v>
      </c>
      <c r="I1632" s="2" t="s">
        <v>7474</v>
      </c>
      <c r="J1632" s="2" t="s">
        <v>2665</v>
      </c>
      <c r="K1632" s="2" t="s">
        <v>82</v>
      </c>
      <c r="L1632" s="2" t="s">
        <v>1767</v>
      </c>
      <c r="M1632" s="2" t="s">
        <v>0</v>
      </c>
      <c r="N1632" s="2" t="s">
        <v>0</v>
      </c>
      <c r="O1632" s="2">
        <v>10</v>
      </c>
      <c r="P1632" s="2">
        <v>9</v>
      </c>
      <c r="Q1632" s="2" t="s">
        <v>46</v>
      </c>
      <c r="R1632" s="2" t="s">
        <v>47</v>
      </c>
      <c r="S1632" s="2">
        <v>0</v>
      </c>
      <c r="T1632" s="2">
        <v>0</v>
      </c>
      <c r="U1632" s="2">
        <v>0</v>
      </c>
      <c r="V1632" s="2">
        <v>0</v>
      </c>
      <c r="W1632" s="2">
        <v>1</v>
      </c>
      <c r="X1632" s="2" t="s">
        <v>403</v>
      </c>
      <c r="Y1632" s="2">
        <v>0</v>
      </c>
      <c r="Z1632" s="2">
        <v>1</v>
      </c>
      <c r="AA1632" s="2">
        <v>1</v>
      </c>
      <c r="AB1632" s="2">
        <v>1</v>
      </c>
      <c r="AC1632" s="2">
        <v>1</v>
      </c>
      <c r="AD1632" s="2">
        <v>2</v>
      </c>
      <c r="AE1632" s="2" t="s">
        <v>0</v>
      </c>
      <c r="AF1632" s="2">
        <v>1</v>
      </c>
      <c r="AG1632" s="2" t="s">
        <v>2523</v>
      </c>
    </row>
    <row r="1633" spans="1:33" ht="89.25" x14ac:dyDescent="0.2">
      <c r="A1633" s="5" t="str">
        <f>HYPERLINK("http://www.patentics.cn/invokexml.do?sf=ShowPatent&amp;spn=US9491590&amp;sv=6c9b91c35e9f35aa37a8aed03ad8286f","US9491590")</f>
        <v>US9491590</v>
      </c>
      <c r="B1633" s="3" t="s">
        <v>7475</v>
      </c>
      <c r="C1633" s="3" t="s">
        <v>7476</v>
      </c>
      <c r="D1633" s="3" t="s">
        <v>52</v>
      </c>
      <c r="E1633" s="3" t="s">
        <v>52</v>
      </c>
      <c r="F1633" s="3" t="s">
        <v>7477</v>
      </c>
      <c r="G1633" s="3" t="s">
        <v>3636</v>
      </c>
      <c r="H1633" s="3" t="s">
        <v>3734</v>
      </c>
      <c r="I1633" s="3" t="s">
        <v>6668</v>
      </c>
      <c r="J1633" s="3" t="s">
        <v>7478</v>
      </c>
      <c r="K1633" s="3" t="s">
        <v>82</v>
      </c>
      <c r="L1633" s="3" t="s">
        <v>4497</v>
      </c>
      <c r="M1633" s="3" t="s">
        <v>82</v>
      </c>
      <c r="N1633" s="3" t="s">
        <v>1649</v>
      </c>
      <c r="O1633" s="3">
        <v>0</v>
      </c>
      <c r="P1633" s="3">
        <v>13</v>
      </c>
      <c r="Q1633" s="3" t="s">
        <v>60</v>
      </c>
      <c r="R1633" s="3" t="s">
        <v>61</v>
      </c>
      <c r="S1633" s="3">
        <v>19</v>
      </c>
      <c r="T1633" s="3">
        <v>2</v>
      </c>
      <c r="U1633" s="3">
        <v>17</v>
      </c>
      <c r="V1633" s="3">
        <v>10</v>
      </c>
      <c r="W1633" s="3">
        <v>0</v>
      </c>
      <c r="X1633" s="3" t="s">
        <v>147</v>
      </c>
      <c r="Y1633" s="3">
        <v>0</v>
      </c>
      <c r="Z1633" s="3">
        <v>0</v>
      </c>
      <c r="AA1633" s="3">
        <v>0</v>
      </c>
      <c r="AB1633" s="3">
        <v>0</v>
      </c>
      <c r="AC1633" s="3">
        <v>10</v>
      </c>
      <c r="AD1633" s="3">
        <v>8</v>
      </c>
      <c r="AE1633" s="3">
        <v>14</v>
      </c>
      <c r="AF1633" s="3" t="s">
        <v>0</v>
      </c>
      <c r="AG1633" s="3" t="s">
        <v>49</v>
      </c>
    </row>
    <row r="1634" spans="1:33" x14ac:dyDescent="0.2">
      <c r="A1634" s="4" t="str">
        <f>HYPERLINK("http://www.patentics.cn/invokexml.do?sf=ShowPatent&amp;spn=CN101990297&amp;sv=295b7b4007d6ede033ce7fb169b435cd","CN101990297")</f>
        <v>CN101990297</v>
      </c>
      <c r="B1634" s="2" t="s">
        <v>7479</v>
      </c>
      <c r="C1634" s="2" t="s">
        <v>7480</v>
      </c>
      <c r="D1634" s="2" t="s">
        <v>38</v>
      </c>
      <c r="E1634" s="2" t="s">
        <v>38</v>
      </c>
      <c r="F1634" s="2" t="s">
        <v>2838</v>
      </c>
      <c r="G1634" s="2" t="s">
        <v>2839</v>
      </c>
      <c r="H1634" s="2" t="s">
        <v>7481</v>
      </c>
      <c r="I1634" s="2" t="s">
        <v>7481</v>
      </c>
      <c r="J1634" s="2" t="s">
        <v>2665</v>
      </c>
      <c r="K1634" s="2" t="s">
        <v>82</v>
      </c>
      <c r="L1634" s="2" t="s">
        <v>2849</v>
      </c>
      <c r="M1634" s="2" t="s">
        <v>0</v>
      </c>
      <c r="N1634" s="2" t="s">
        <v>0</v>
      </c>
      <c r="O1634" s="2">
        <v>19</v>
      </c>
      <c r="P1634" s="2">
        <v>8</v>
      </c>
      <c r="Q1634" s="2" t="s">
        <v>46</v>
      </c>
      <c r="R1634" s="2" t="s">
        <v>47</v>
      </c>
      <c r="S1634" s="2">
        <v>0</v>
      </c>
      <c r="T1634" s="2">
        <v>0</v>
      </c>
      <c r="U1634" s="2">
        <v>0</v>
      </c>
      <c r="V1634" s="2">
        <v>0</v>
      </c>
      <c r="W1634" s="2">
        <v>13</v>
      </c>
      <c r="X1634" s="2" t="s">
        <v>7482</v>
      </c>
      <c r="Y1634" s="2">
        <v>0</v>
      </c>
      <c r="Z1634" s="2">
        <v>13</v>
      </c>
      <c r="AA1634" s="2">
        <v>2</v>
      </c>
      <c r="AB1634" s="2">
        <v>4</v>
      </c>
      <c r="AC1634" s="2">
        <v>1</v>
      </c>
      <c r="AD1634" s="2">
        <v>2</v>
      </c>
      <c r="AE1634" s="2" t="s">
        <v>0</v>
      </c>
      <c r="AF1634" s="2">
        <v>1</v>
      </c>
      <c r="AG1634" s="2" t="s">
        <v>547</v>
      </c>
    </row>
    <row r="1635" spans="1:33" ht="38.25" x14ac:dyDescent="0.2">
      <c r="A1635" s="5" t="str">
        <f>HYPERLINK("http://www.patentics.cn/invokexml.do?sf=ShowPatent&amp;spn=US9602990&amp;sv=fbc90f88ec3ee4b7aedc08d56b2497ea","US9602990")</f>
        <v>US9602990</v>
      </c>
      <c r="B1635" s="3" t="s">
        <v>7483</v>
      </c>
      <c r="C1635" s="3" t="s">
        <v>7484</v>
      </c>
      <c r="D1635" s="3" t="s">
        <v>52</v>
      </c>
      <c r="E1635" s="3" t="s">
        <v>52</v>
      </c>
      <c r="F1635" s="3" t="s">
        <v>7485</v>
      </c>
      <c r="G1635" s="3" t="s">
        <v>2211</v>
      </c>
      <c r="H1635" s="3" t="s">
        <v>0</v>
      </c>
      <c r="I1635" s="3" t="s">
        <v>7486</v>
      </c>
      <c r="J1635" s="3" t="s">
        <v>739</v>
      </c>
      <c r="K1635" s="3" t="s">
        <v>82</v>
      </c>
      <c r="L1635" s="3" t="s">
        <v>2849</v>
      </c>
      <c r="M1635" s="3" t="s">
        <v>82</v>
      </c>
      <c r="N1635" s="3" t="s">
        <v>7487</v>
      </c>
      <c r="O1635" s="3">
        <v>0</v>
      </c>
      <c r="P1635" s="3">
        <v>17</v>
      </c>
      <c r="Q1635" s="3" t="s">
        <v>60</v>
      </c>
      <c r="R1635" s="3" t="s">
        <v>61</v>
      </c>
      <c r="S1635" s="3">
        <v>24</v>
      </c>
      <c r="T1635" s="3">
        <v>2</v>
      </c>
      <c r="U1635" s="3">
        <v>22</v>
      </c>
      <c r="V1635" s="3">
        <v>12</v>
      </c>
      <c r="W1635" s="3">
        <v>0</v>
      </c>
      <c r="X1635" s="3" t="s">
        <v>147</v>
      </c>
      <c r="Y1635" s="3">
        <v>0</v>
      </c>
      <c r="Z1635" s="3">
        <v>0</v>
      </c>
      <c r="AA1635" s="3">
        <v>0</v>
      </c>
      <c r="AB1635" s="3">
        <v>0</v>
      </c>
      <c r="AC1635" s="3">
        <v>0</v>
      </c>
      <c r="AD1635" s="3">
        <v>0</v>
      </c>
      <c r="AE1635" s="3">
        <v>14</v>
      </c>
      <c r="AF1635" s="3" t="s">
        <v>0</v>
      </c>
      <c r="AG1635" s="3" t="s">
        <v>49</v>
      </c>
    </row>
    <row r="1636" spans="1:33" ht="25.5" x14ac:dyDescent="0.2">
      <c r="A1636" s="4" t="str">
        <f>HYPERLINK("http://www.patentics.cn/invokexml.do?sf=ShowPatent&amp;spn=CN101969652&amp;sv=a6182941daf5ec3bda6b2107683c9aa2","CN101969652")</f>
        <v>CN101969652</v>
      </c>
      <c r="B1636" s="2" t="s">
        <v>7488</v>
      </c>
      <c r="C1636" s="2" t="s">
        <v>7489</v>
      </c>
      <c r="D1636" s="2" t="s">
        <v>38</v>
      </c>
      <c r="E1636" s="2" t="s">
        <v>38</v>
      </c>
      <c r="F1636" s="2" t="s">
        <v>7490</v>
      </c>
      <c r="G1636" s="2" t="s">
        <v>7491</v>
      </c>
      <c r="H1636" s="2" t="s">
        <v>7492</v>
      </c>
      <c r="I1636" s="2" t="s">
        <v>7492</v>
      </c>
      <c r="J1636" s="2" t="s">
        <v>1404</v>
      </c>
      <c r="K1636" s="2" t="s">
        <v>82</v>
      </c>
      <c r="L1636" s="2" t="s">
        <v>806</v>
      </c>
      <c r="M1636" s="2" t="s">
        <v>0</v>
      </c>
      <c r="N1636" s="2" t="s">
        <v>0</v>
      </c>
      <c r="O1636" s="2">
        <v>15</v>
      </c>
      <c r="P1636" s="2">
        <v>16</v>
      </c>
      <c r="Q1636" s="2" t="s">
        <v>46</v>
      </c>
      <c r="R1636" s="2" t="s">
        <v>47</v>
      </c>
      <c r="S1636" s="2">
        <v>0</v>
      </c>
      <c r="T1636" s="2">
        <v>0</v>
      </c>
      <c r="U1636" s="2">
        <v>0</v>
      </c>
      <c r="V1636" s="2">
        <v>0</v>
      </c>
      <c r="W1636" s="2">
        <v>5</v>
      </c>
      <c r="X1636" s="2" t="s">
        <v>7493</v>
      </c>
      <c r="Y1636" s="2">
        <v>0</v>
      </c>
      <c r="Z1636" s="2">
        <v>5</v>
      </c>
      <c r="AA1636" s="2">
        <v>4</v>
      </c>
      <c r="AB1636" s="2">
        <v>2</v>
      </c>
      <c r="AC1636" s="2">
        <v>1</v>
      </c>
      <c r="AD1636" s="2">
        <v>1</v>
      </c>
      <c r="AE1636" s="2" t="s">
        <v>0</v>
      </c>
      <c r="AF1636" s="2">
        <v>1</v>
      </c>
      <c r="AG1636" s="2" t="s">
        <v>49</v>
      </c>
    </row>
    <row r="1637" spans="1:33" ht="38.25" x14ac:dyDescent="0.2">
      <c r="A1637" s="5" t="str">
        <f>HYPERLINK("http://www.patentics.cn/invokexml.do?sf=ShowPatent&amp;spn=CN103828245B&amp;sv=0c1be700ebd386c1b9b819dd3f933bb0","CN103828245B")</f>
        <v>CN103828245B</v>
      </c>
      <c r="B1637" s="3" t="s">
        <v>7494</v>
      </c>
      <c r="C1637" s="3" t="s">
        <v>7495</v>
      </c>
      <c r="D1637" s="3" t="s">
        <v>338</v>
      </c>
      <c r="E1637" s="3" t="s">
        <v>338</v>
      </c>
      <c r="F1637" s="3" t="s">
        <v>7496</v>
      </c>
      <c r="G1637" s="3" t="s">
        <v>7497</v>
      </c>
      <c r="H1637" s="3" t="s">
        <v>7498</v>
      </c>
      <c r="I1637" s="3" t="s">
        <v>4166</v>
      </c>
      <c r="J1637" s="3" t="s">
        <v>5285</v>
      </c>
      <c r="K1637" s="3" t="s">
        <v>84</v>
      </c>
      <c r="L1637" s="3" t="s">
        <v>310</v>
      </c>
      <c r="M1637" s="3" t="s">
        <v>0</v>
      </c>
      <c r="N1637" s="3" t="s">
        <v>0</v>
      </c>
      <c r="O1637" s="3">
        <v>20</v>
      </c>
      <c r="P1637" s="3">
        <v>10</v>
      </c>
      <c r="Q1637" s="3" t="s">
        <v>60</v>
      </c>
      <c r="R1637" s="3" t="s">
        <v>61</v>
      </c>
      <c r="S1637" s="3">
        <v>3</v>
      </c>
      <c r="T1637" s="3">
        <v>0</v>
      </c>
      <c r="U1637" s="3">
        <v>3</v>
      </c>
      <c r="V1637" s="3">
        <v>3</v>
      </c>
      <c r="W1637" s="3">
        <v>0</v>
      </c>
      <c r="X1637" s="3" t="s">
        <v>147</v>
      </c>
      <c r="Y1637" s="3">
        <v>0</v>
      </c>
      <c r="Z1637" s="3">
        <v>0</v>
      </c>
      <c r="AA1637" s="3">
        <v>0</v>
      </c>
      <c r="AB1637" s="3">
        <v>0</v>
      </c>
      <c r="AC1637" s="3">
        <v>0</v>
      </c>
      <c r="AD1637" s="3">
        <v>0</v>
      </c>
      <c r="AE1637" s="3">
        <v>14</v>
      </c>
      <c r="AF1637" s="3" t="s">
        <v>0</v>
      </c>
      <c r="AG1637" s="3" t="s">
        <v>49</v>
      </c>
    </row>
    <row r="1638" spans="1:33" ht="25.5" x14ac:dyDescent="0.2">
      <c r="A1638" s="4" t="str">
        <f>HYPERLINK("http://www.patentics.cn/invokexml.do?sf=ShowPatent&amp;spn=CN101959162&amp;sv=c3c202c3cf0c68c45322517e7ca98666","CN101959162")</f>
        <v>CN101959162</v>
      </c>
      <c r="B1638" s="2" t="s">
        <v>7499</v>
      </c>
      <c r="C1638" s="2" t="s">
        <v>7500</v>
      </c>
      <c r="D1638" s="2" t="s">
        <v>38</v>
      </c>
      <c r="E1638" s="2" t="s">
        <v>38</v>
      </c>
      <c r="F1638" s="2" t="s">
        <v>7501</v>
      </c>
      <c r="G1638" s="2" t="s">
        <v>7502</v>
      </c>
      <c r="H1638" s="2" t="s">
        <v>7503</v>
      </c>
      <c r="I1638" s="2" t="s">
        <v>7503</v>
      </c>
      <c r="J1638" s="2" t="s">
        <v>3420</v>
      </c>
      <c r="K1638" s="2" t="s">
        <v>82</v>
      </c>
      <c r="L1638" s="2" t="s">
        <v>4889</v>
      </c>
      <c r="M1638" s="2" t="s">
        <v>0</v>
      </c>
      <c r="N1638" s="2" t="s">
        <v>0</v>
      </c>
      <c r="O1638" s="2">
        <v>10</v>
      </c>
      <c r="P1638" s="2">
        <v>22</v>
      </c>
      <c r="Q1638" s="2" t="s">
        <v>46</v>
      </c>
      <c r="R1638" s="2" t="s">
        <v>47</v>
      </c>
      <c r="S1638" s="2">
        <v>0</v>
      </c>
      <c r="T1638" s="2">
        <v>0</v>
      </c>
      <c r="U1638" s="2">
        <v>0</v>
      </c>
      <c r="V1638" s="2">
        <v>0</v>
      </c>
      <c r="W1638" s="2">
        <v>2</v>
      </c>
      <c r="X1638" s="2" t="s">
        <v>1581</v>
      </c>
      <c r="Y1638" s="2">
        <v>1</v>
      </c>
      <c r="Z1638" s="2">
        <v>1</v>
      </c>
      <c r="AA1638" s="2">
        <v>2</v>
      </c>
      <c r="AB1638" s="2">
        <v>2</v>
      </c>
      <c r="AC1638" s="2">
        <v>1</v>
      </c>
      <c r="AD1638" s="2">
        <v>2</v>
      </c>
      <c r="AE1638" s="2" t="s">
        <v>0</v>
      </c>
      <c r="AF1638" s="2">
        <v>1</v>
      </c>
      <c r="AG1638" s="2" t="s">
        <v>2523</v>
      </c>
    </row>
    <row r="1639" spans="1:33" ht="76.5" x14ac:dyDescent="0.2">
      <c r="A1639" s="5" t="str">
        <f>HYPERLINK("http://www.patentics.cn/invokexml.do?sf=ShowPatent&amp;spn=US9438384&amp;sv=278bacf4ab3a7eedbfa3221f64bc3ab7","US9438384")</f>
        <v>US9438384</v>
      </c>
      <c r="B1639" s="3" t="s">
        <v>7504</v>
      </c>
      <c r="C1639" s="3" t="s">
        <v>7505</v>
      </c>
      <c r="D1639" s="3" t="s">
        <v>52</v>
      </c>
      <c r="E1639" s="3" t="s">
        <v>52</v>
      </c>
      <c r="F1639" s="3" t="s">
        <v>7506</v>
      </c>
      <c r="G1639" s="3" t="s">
        <v>7506</v>
      </c>
      <c r="H1639" s="3" t="s">
        <v>0</v>
      </c>
      <c r="I1639" s="3" t="s">
        <v>4321</v>
      </c>
      <c r="J1639" s="3" t="s">
        <v>5707</v>
      </c>
      <c r="K1639" s="3" t="s">
        <v>58</v>
      </c>
      <c r="L1639" s="3" t="s">
        <v>1980</v>
      </c>
      <c r="M1639" s="3" t="s">
        <v>58</v>
      </c>
      <c r="N1639" s="3" t="s">
        <v>7507</v>
      </c>
      <c r="O1639" s="3">
        <v>0</v>
      </c>
      <c r="P1639" s="3">
        <v>20</v>
      </c>
      <c r="Q1639" s="3" t="s">
        <v>60</v>
      </c>
      <c r="R1639" s="3" t="s">
        <v>61</v>
      </c>
      <c r="S1639" s="3">
        <v>32</v>
      </c>
      <c r="T1639" s="3">
        <v>1</v>
      </c>
      <c r="U1639" s="3">
        <v>31</v>
      </c>
      <c r="V1639" s="3">
        <v>17</v>
      </c>
      <c r="W1639" s="3">
        <v>0</v>
      </c>
      <c r="X1639" s="3" t="s">
        <v>147</v>
      </c>
      <c r="Y1639" s="3">
        <v>0</v>
      </c>
      <c r="Z1639" s="3">
        <v>0</v>
      </c>
      <c r="AA1639" s="3">
        <v>0</v>
      </c>
      <c r="AB1639" s="3">
        <v>0</v>
      </c>
      <c r="AC1639" s="3">
        <v>0</v>
      </c>
      <c r="AD1639" s="3">
        <v>0</v>
      </c>
      <c r="AE1639" s="3">
        <v>14</v>
      </c>
      <c r="AF1639" s="3" t="s">
        <v>0</v>
      </c>
      <c r="AG1639" s="3" t="s">
        <v>49</v>
      </c>
    </row>
    <row r="1640" spans="1:33" x14ac:dyDescent="0.2">
      <c r="A1640" s="4" t="str">
        <f>HYPERLINK("http://www.patentics.cn/invokexml.do?sf=ShowPatent&amp;spn=CN101959122&amp;sv=ea7797734797725161d89cbd78c1b5d8","CN101959122")</f>
        <v>CN101959122</v>
      </c>
      <c r="B1640" s="2" t="s">
        <v>7508</v>
      </c>
      <c r="C1640" s="2" t="s">
        <v>7509</v>
      </c>
      <c r="D1640" s="2" t="s">
        <v>38</v>
      </c>
      <c r="E1640" s="2" t="s">
        <v>38</v>
      </c>
      <c r="F1640" s="2" t="s">
        <v>7510</v>
      </c>
      <c r="G1640" s="2" t="s">
        <v>7510</v>
      </c>
      <c r="H1640" s="2" t="s">
        <v>7511</v>
      </c>
      <c r="I1640" s="2" t="s">
        <v>7511</v>
      </c>
      <c r="J1640" s="2" t="s">
        <v>3420</v>
      </c>
      <c r="K1640" s="2" t="s">
        <v>82</v>
      </c>
      <c r="L1640" s="2" t="s">
        <v>2841</v>
      </c>
      <c r="M1640" s="2" t="s">
        <v>0</v>
      </c>
      <c r="N1640" s="2" t="s">
        <v>0</v>
      </c>
      <c r="O1640" s="2">
        <v>13</v>
      </c>
      <c r="P1640" s="2">
        <v>9</v>
      </c>
      <c r="Q1640" s="2" t="s">
        <v>46</v>
      </c>
      <c r="R1640" s="2" t="s">
        <v>47</v>
      </c>
      <c r="S1640" s="2">
        <v>0</v>
      </c>
      <c r="T1640" s="2">
        <v>0</v>
      </c>
      <c r="U1640" s="2">
        <v>0</v>
      </c>
      <c r="V1640" s="2">
        <v>0</v>
      </c>
      <c r="W1640" s="2">
        <v>9</v>
      </c>
      <c r="X1640" s="2" t="s">
        <v>7512</v>
      </c>
      <c r="Y1640" s="2">
        <v>1</v>
      </c>
      <c r="Z1640" s="2">
        <v>8</v>
      </c>
      <c r="AA1640" s="2">
        <v>3</v>
      </c>
      <c r="AB1640" s="2">
        <v>4</v>
      </c>
      <c r="AC1640" s="2">
        <v>3</v>
      </c>
      <c r="AD1640" s="2">
        <v>3</v>
      </c>
      <c r="AE1640" s="2" t="s">
        <v>0</v>
      </c>
      <c r="AF1640" s="2">
        <v>1</v>
      </c>
      <c r="AG1640" s="2" t="s">
        <v>49</v>
      </c>
    </row>
    <row r="1641" spans="1:33" ht="38.25" x14ac:dyDescent="0.2">
      <c r="A1641" s="5" t="str">
        <f>HYPERLINK("http://www.patentics.cn/invokexml.do?sf=ShowPatent&amp;spn=US9602990&amp;sv=fbc90f88ec3ee4b7aedc08d56b2497ea","US9602990")</f>
        <v>US9602990</v>
      </c>
      <c r="B1641" s="3" t="s">
        <v>7483</v>
      </c>
      <c r="C1641" s="3" t="s">
        <v>7484</v>
      </c>
      <c r="D1641" s="3" t="s">
        <v>52</v>
      </c>
      <c r="E1641" s="3" t="s">
        <v>52</v>
      </c>
      <c r="F1641" s="3" t="s">
        <v>7485</v>
      </c>
      <c r="G1641" s="3" t="s">
        <v>2211</v>
      </c>
      <c r="H1641" s="3" t="s">
        <v>0</v>
      </c>
      <c r="I1641" s="3" t="s">
        <v>7486</v>
      </c>
      <c r="J1641" s="3" t="s">
        <v>739</v>
      </c>
      <c r="K1641" s="3" t="s">
        <v>82</v>
      </c>
      <c r="L1641" s="3" t="s">
        <v>2849</v>
      </c>
      <c r="M1641" s="3" t="s">
        <v>82</v>
      </c>
      <c r="N1641" s="3" t="s">
        <v>7487</v>
      </c>
      <c r="O1641" s="3">
        <v>0</v>
      </c>
      <c r="P1641" s="3">
        <v>17</v>
      </c>
      <c r="Q1641" s="3" t="s">
        <v>60</v>
      </c>
      <c r="R1641" s="3" t="s">
        <v>61</v>
      </c>
      <c r="S1641" s="3">
        <v>24</v>
      </c>
      <c r="T1641" s="3">
        <v>2</v>
      </c>
      <c r="U1641" s="3">
        <v>22</v>
      </c>
      <c r="V1641" s="3">
        <v>12</v>
      </c>
      <c r="W1641" s="3">
        <v>0</v>
      </c>
      <c r="X1641" s="3" t="s">
        <v>147</v>
      </c>
      <c r="Y1641" s="3">
        <v>0</v>
      </c>
      <c r="Z1641" s="3">
        <v>0</v>
      </c>
      <c r="AA1641" s="3">
        <v>0</v>
      </c>
      <c r="AB1641" s="3">
        <v>0</v>
      </c>
      <c r="AC1641" s="3">
        <v>0</v>
      </c>
      <c r="AD1641" s="3">
        <v>0</v>
      </c>
      <c r="AE1641" s="3">
        <v>14</v>
      </c>
      <c r="AF1641" s="3" t="s">
        <v>0</v>
      </c>
      <c r="AG1641" s="3" t="s">
        <v>49</v>
      </c>
    </row>
    <row r="1642" spans="1:33" ht="25.5" x14ac:dyDescent="0.2">
      <c r="A1642" s="4" t="str">
        <f>HYPERLINK("http://www.patentics.cn/invokexml.do?sf=ShowPatent&amp;spn=CN101945380&amp;sv=effefa94fa2582cd10d2e676b6e06565","CN101945380")</f>
        <v>CN101945380</v>
      </c>
      <c r="B1642" s="2" t="s">
        <v>7513</v>
      </c>
      <c r="C1642" s="2" t="s">
        <v>7514</v>
      </c>
      <c r="D1642" s="2" t="s">
        <v>38</v>
      </c>
      <c r="E1642" s="2" t="s">
        <v>38</v>
      </c>
      <c r="F1642" s="2" t="s">
        <v>7515</v>
      </c>
      <c r="G1642" s="2" t="s">
        <v>7516</v>
      </c>
      <c r="H1642" s="2" t="s">
        <v>0</v>
      </c>
      <c r="I1642" s="2" t="s">
        <v>7517</v>
      </c>
      <c r="J1642" s="2" t="s">
        <v>2416</v>
      </c>
      <c r="K1642" s="2" t="s">
        <v>82</v>
      </c>
      <c r="L1642" s="2" t="s">
        <v>2020</v>
      </c>
      <c r="M1642" s="2" t="s">
        <v>0</v>
      </c>
      <c r="N1642" s="2" t="s">
        <v>0</v>
      </c>
      <c r="O1642" s="2">
        <v>10</v>
      </c>
      <c r="P1642" s="2">
        <v>11</v>
      </c>
      <c r="Q1642" s="2" t="s">
        <v>46</v>
      </c>
      <c r="R1642" s="2" t="s">
        <v>47</v>
      </c>
      <c r="S1642" s="2">
        <v>0</v>
      </c>
      <c r="T1642" s="2">
        <v>0</v>
      </c>
      <c r="U1642" s="2">
        <v>0</v>
      </c>
      <c r="V1642" s="2">
        <v>0</v>
      </c>
      <c r="W1642" s="2">
        <v>2</v>
      </c>
      <c r="X1642" s="2" t="s">
        <v>4891</v>
      </c>
      <c r="Y1642" s="2">
        <v>0</v>
      </c>
      <c r="Z1642" s="2">
        <v>2</v>
      </c>
      <c r="AA1642" s="2">
        <v>2</v>
      </c>
      <c r="AB1642" s="2">
        <v>2</v>
      </c>
      <c r="AC1642" s="2">
        <v>0</v>
      </c>
      <c r="AD1642" s="2">
        <v>0</v>
      </c>
      <c r="AE1642" s="2" t="s">
        <v>0</v>
      </c>
      <c r="AF1642" s="2">
        <v>1</v>
      </c>
      <c r="AG1642" s="2" t="s">
        <v>547</v>
      </c>
    </row>
    <row r="1643" spans="1:33" ht="89.25" x14ac:dyDescent="0.2">
      <c r="A1643" s="5" t="str">
        <f>HYPERLINK("http://www.patentics.cn/invokexml.do?sf=ShowPatent&amp;spn=US8874084&amp;sv=54c13bad4766972800dc592a25afec20","US8874084")</f>
        <v>US8874084</v>
      </c>
      <c r="B1643" s="3" t="s">
        <v>7518</v>
      </c>
      <c r="C1643" s="3" t="s">
        <v>7519</v>
      </c>
      <c r="D1643" s="3" t="s">
        <v>52</v>
      </c>
      <c r="E1643" s="3" t="s">
        <v>52</v>
      </c>
      <c r="F1643" s="3" t="s">
        <v>7520</v>
      </c>
      <c r="G1643" s="3" t="s">
        <v>7521</v>
      </c>
      <c r="H1643" s="3" t="s">
        <v>7522</v>
      </c>
      <c r="I1643" s="3" t="s">
        <v>7522</v>
      </c>
      <c r="J1643" s="3" t="s">
        <v>489</v>
      </c>
      <c r="K1643" s="3" t="s">
        <v>82</v>
      </c>
      <c r="L1643" s="3" t="s">
        <v>2425</v>
      </c>
      <c r="M1643" s="3" t="s">
        <v>82</v>
      </c>
      <c r="N1643" s="3" t="s">
        <v>1277</v>
      </c>
      <c r="O1643" s="3">
        <v>0</v>
      </c>
      <c r="P1643" s="3">
        <v>15</v>
      </c>
      <c r="Q1643" s="3" t="s">
        <v>60</v>
      </c>
      <c r="R1643" s="3" t="s">
        <v>61</v>
      </c>
      <c r="S1643" s="3">
        <v>11</v>
      </c>
      <c r="T1643" s="3">
        <v>0</v>
      </c>
      <c r="U1643" s="3">
        <v>11</v>
      </c>
      <c r="V1643" s="3">
        <v>7</v>
      </c>
      <c r="W1643" s="3">
        <v>0</v>
      </c>
      <c r="X1643" s="3" t="s">
        <v>147</v>
      </c>
      <c r="Y1643" s="3">
        <v>0</v>
      </c>
      <c r="Z1643" s="3">
        <v>0</v>
      </c>
      <c r="AA1643" s="3">
        <v>0</v>
      </c>
      <c r="AB1643" s="3">
        <v>0</v>
      </c>
      <c r="AC1643" s="3">
        <v>2</v>
      </c>
      <c r="AD1643" s="3">
        <v>2</v>
      </c>
      <c r="AE1643" s="3">
        <v>14</v>
      </c>
      <c r="AF1643" s="3" t="s">
        <v>0</v>
      </c>
      <c r="AG1643" s="3" t="s">
        <v>49</v>
      </c>
    </row>
    <row r="1644" spans="1:33" ht="38.25" x14ac:dyDescent="0.2">
      <c r="A1644" s="4" t="str">
        <f>HYPERLINK("http://www.patentics.cn/invokexml.do?sf=ShowPatent&amp;spn=CN101932116&amp;sv=98a2104fc7ad43dc4593461f92cc447b","CN101932116")</f>
        <v>CN101932116</v>
      </c>
      <c r="B1644" s="2" t="s">
        <v>7523</v>
      </c>
      <c r="C1644" s="2" t="s">
        <v>7524</v>
      </c>
      <c r="D1644" s="2" t="s">
        <v>38</v>
      </c>
      <c r="E1644" s="2" t="s">
        <v>38</v>
      </c>
      <c r="F1644" s="2" t="s">
        <v>7525</v>
      </c>
      <c r="G1644" s="2" t="s">
        <v>7526</v>
      </c>
      <c r="H1644" s="2" t="s">
        <v>939</v>
      </c>
      <c r="I1644" s="2" t="s">
        <v>939</v>
      </c>
      <c r="J1644" s="2" t="s">
        <v>6787</v>
      </c>
      <c r="K1644" s="2" t="s">
        <v>82</v>
      </c>
      <c r="L1644" s="2" t="s">
        <v>997</v>
      </c>
      <c r="M1644" s="2" t="s">
        <v>0</v>
      </c>
      <c r="N1644" s="2" t="s">
        <v>0</v>
      </c>
      <c r="O1644" s="2">
        <v>19</v>
      </c>
      <c r="P1644" s="2">
        <v>10</v>
      </c>
      <c r="Q1644" s="2" t="s">
        <v>46</v>
      </c>
      <c r="R1644" s="2" t="s">
        <v>47</v>
      </c>
      <c r="S1644" s="2">
        <v>0</v>
      </c>
      <c r="T1644" s="2">
        <v>0</v>
      </c>
      <c r="U1644" s="2">
        <v>0</v>
      </c>
      <c r="V1644" s="2">
        <v>0</v>
      </c>
      <c r="W1644" s="2">
        <v>4</v>
      </c>
      <c r="X1644" s="2" t="s">
        <v>6624</v>
      </c>
      <c r="Y1644" s="2">
        <v>1</v>
      </c>
      <c r="Z1644" s="2">
        <v>3</v>
      </c>
      <c r="AA1644" s="2">
        <v>4</v>
      </c>
      <c r="AB1644" s="2">
        <v>3</v>
      </c>
      <c r="AC1644" s="2">
        <v>1</v>
      </c>
      <c r="AD1644" s="2">
        <v>2</v>
      </c>
      <c r="AE1644" s="2" t="s">
        <v>0</v>
      </c>
      <c r="AF1644" s="2">
        <v>1</v>
      </c>
      <c r="AG1644" s="2" t="s">
        <v>49</v>
      </c>
    </row>
    <row r="1645" spans="1:33" ht="51" x14ac:dyDescent="0.2">
      <c r="A1645" s="5" t="str">
        <f>HYPERLINK("http://www.patentics.cn/invokexml.do?sf=ShowPatent&amp;spn=WO2014161200&amp;sv=ed65dd0b9830e2ae00994dc373ff1326","WO2014161200")</f>
        <v>WO2014161200</v>
      </c>
      <c r="B1645" s="3" t="s">
        <v>7258</v>
      </c>
      <c r="C1645" s="3" t="s">
        <v>7259</v>
      </c>
      <c r="D1645" s="3" t="s">
        <v>7250</v>
      </c>
      <c r="E1645" s="3" t="s">
        <v>7251</v>
      </c>
      <c r="F1645" s="3" t="s">
        <v>7252</v>
      </c>
      <c r="G1645" s="3" t="s">
        <v>2761</v>
      </c>
      <c r="H1645" s="3" t="s">
        <v>504</v>
      </c>
      <c r="I1645" s="3" t="s">
        <v>504</v>
      </c>
      <c r="J1645" s="3" t="s">
        <v>3344</v>
      </c>
      <c r="K1645" s="3" t="s">
        <v>82</v>
      </c>
      <c r="L1645" s="3" t="s">
        <v>1310</v>
      </c>
      <c r="M1645" s="3" t="s">
        <v>0</v>
      </c>
      <c r="N1645" s="3" t="s">
        <v>0</v>
      </c>
      <c r="O1645" s="3">
        <v>40</v>
      </c>
      <c r="P1645" s="3">
        <v>11</v>
      </c>
      <c r="Q1645" s="3" t="s">
        <v>352</v>
      </c>
      <c r="R1645" s="3" t="s">
        <v>47</v>
      </c>
      <c r="S1645" s="3">
        <v>3</v>
      </c>
      <c r="T1645" s="3">
        <v>0</v>
      </c>
      <c r="U1645" s="3">
        <v>3</v>
      </c>
      <c r="V1645" s="3">
        <v>1</v>
      </c>
      <c r="W1645" s="3">
        <v>0</v>
      </c>
      <c r="X1645" s="3" t="s">
        <v>147</v>
      </c>
      <c r="Y1645" s="3">
        <v>0</v>
      </c>
      <c r="Z1645" s="3">
        <v>0</v>
      </c>
      <c r="AA1645" s="3">
        <v>0</v>
      </c>
      <c r="AB1645" s="3">
        <v>0</v>
      </c>
      <c r="AC1645" s="3">
        <v>5</v>
      </c>
      <c r="AD1645" s="3">
        <v>5</v>
      </c>
      <c r="AE1645" s="3">
        <v>14</v>
      </c>
      <c r="AF1645" s="3" t="s">
        <v>0</v>
      </c>
      <c r="AG1645" s="3" t="s">
        <v>0</v>
      </c>
    </row>
    <row r="1646" spans="1:33" ht="51" x14ac:dyDescent="0.2">
      <c r="A1646" s="4" t="str">
        <f>HYPERLINK("http://www.patentics.cn/invokexml.do?sf=ShowPatent&amp;spn=CN101917260&amp;sv=713018041593058e4eaa30c3a213f6c8","CN101917260")</f>
        <v>CN101917260</v>
      </c>
      <c r="B1646" s="2" t="s">
        <v>7527</v>
      </c>
      <c r="C1646" s="2" t="s">
        <v>7528</v>
      </c>
      <c r="D1646" s="2" t="s">
        <v>38</v>
      </c>
      <c r="E1646" s="2" t="s">
        <v>38</v>
      </c>
      <c r="F1646" s="2" t="s">
        <v>7529</v>
      </c>
      <c r="G1646" s="2" t="s">
        <v>5140</v>
      </c>
      <c r="H1646" s="2" t="s">
        <v>713</v>
      </c>
      <c r="I1646" s="2" t="s">
        <v>713</v>
      </c>
      <c r="J1646" s="2" t="s">
        <v>2816</v>
      </c>
      <c r="K1646" s="2" t="s">
        <v>58</v>
      </c>
      <c r="L1646" s="2" t="s">
        <v>2734</v>
      </c>
      <c r="M1646" s="2" t="s">
        <v>0</v>
      </c>
      <c r="N1646" s="2" t="s">
        <v>0</v>
      </c>
      <c r="O1646" s="2">
        <v>13</v>
      </c>
      <c r="P1646" s="2">
        <v>14</v>
      </c>
      <c r="Q1646" s="2" t="s">
        <v>46</v>
      </c>
      <c r="R1646" s="2" t="s">
        <v>47</v>
      </c>
      <c r="S1646" s="2">
        <v>0</v>
      </c>
      <c r="T1646" s="2">
        <v>0</v>
      </c>
      <c r="U1646" s="2">
        <v>0</v>
      </c>
      <c r="V1646" s="2">
        <v>0</v>
      </c>
      <c r="W1646" s="2">
        <v>11</v>
      </c>
      <c r="X1646" s="2" t="s">
        <v>7530</v>
      </c>
      <c r="Y1646" s="2">
        <v>3</v>
      </c>
      <c r="Z1646" s="2">
        <v>8</v>
      </c>
      <c r="AA1646" s="2">
        <v>4</v>
      </c>
      <c r="AB1646" s="2">
        <v>3</v>
      </c>
      <c r="AC1646" s="2">
        <v>2</v>
      </c>
      <c r="AD1646" s="2">
        <v>2</v>
      </c>
      <c r="AE1646" s="2" t="s">
        <v>0</v>
      </c>
      <c r="AF1646" s="2">
        <v>1</v>
      </c>
      <c r="AG1646" s="2" t="s">
        <v>49</v>
      </c>
    </row>
    <row r="1647" spans="1:33" ht="114.75" x14ac:dyDescent="0.2">
      <c r="A1647" s="5" t="str">
        <f>HYPERLINK("http://www.patentics.cn/invokexml.do?sf=ShowPatent&amp;spn=US9559820&amp;sv=2c96fc4e4c6106c169e1c97ef71de7a3","US9559820")</f>
        <v>US9559820</v>
      </c>
      <c r="B1647" s="3" t="s">
        <v>7531</v>
      </c>
      <c r="C1647" s="3" t="s">
        <v>7532</v>
      </c>
      <c r="D1647" s="3" t="s">
        <v>52</v>
      </c>
      <c r="E1647" s="3" t="s">
        <v>52</v>
      </c>
      <c r="F1647" s="3" t="s">
        <v>7533</v>
      </c>
      <c r="G1647" s="3" t="s">
        <v>2822</v>
      </c>
      <c r="H1647" s="3" t="s">
        <v>570</v>
      </c>
      <c r="I1647" s="3" t="s">
        <v>3375</v>
      </c>
      <c r="J1647" s="3" t="s">
        <v>2399</v>
      </c>
      <c r="K1647" s="3" t="s">
        <v>58</v>
      </c>
      <c r="L1647" s="3" t="s">
        <v>7534</v>
      </c>
      <c r="M1647" s="3" t="s">
        <v>58</v>
      </c>
      <c r="N1647" s="3" t="s">
        <v>335</v>
      </c>
      <c r="O1647" s="3">
        <v>0</v>
      </c>
      <c r="P1647" s="3">
        <v>17</v>
      </c>
      <c r="Q1647" s="3" t="s">
        <v>60</v>
      </c>
      <c r="R1647" s="3" t="s">
        <v>61</v>
      </c>
      <c r="S1647" s="3">
        <v>36</v>
      </c>
      <c r="T1647" s="3">
        <v>5</v>
      </c>
      <c r="U1647" s="3">
        <v>31</v>
      </c>
      <c r="V1647" s="3">
        <v>15</v>
      </c>
      <c r="W1647" s="3">
        <v>0</v>
      </c>
      <c r="X1647" s="3" t="s">
        <v>147</v>
      </c>
      <c r="Y1647" s="3">
        <v>0</v>
      </c>
      <c r="Z1647" s="3">
        <v>0</v>
      </c>
      <c r="AA1647" s="3">
        <v>0</v>
      </c>
      <c r="AB1647" s="3">
        <v>0</v>
      </c>
      <c r="AC1647" s="3">
        <v>20</v>
      </c>
      <c r="AD1647" s="3">
        <v>7</v>
      </c>
      <c r="AE1647" s="3">
        <v>14</v>
      </c>
      <c r="AF1647" s="3" t="s">
        <v>0</v>
      </c>
      <c r="AG1647" s="3" t="s">
        <v>49</v>
      </c>
    </row>
    <row r="1648" spans="1:33" x14ac:dyDescent="0.2">
      <c r="A1648" s="4" t="str">
        <f>HYPERLINK("http://www.patentics.cn/invokexml.do?sf=ShowPatent&amp;spn=CN101909019&amp;sv=3d8708d7538542722c2a7696d3db1513","CN101909019")</f>
        <v>CN101909019</v>
      </c>
      <c r="B1648" s="2" t="s">
        <v>7535</v>
      </c>
      <c r="C1648" s="2" t="s">
        <v>7536</v>
      </c>
      <c r="D1648" s="2" t="s">
        <v>38</v>
      </c>
      <c r="E1648" s="2" t="s">
        <v>38</v>
      </c>
      <c r="F1648" s="2" t="s">
        <v>7537</v>
      </c>
      <c r="G1648" s="2" t="s">
        <v>7537</v>
      </c>
      <c r="H1648" s="2" t="s">
        <v>1519</v>
      </c>
      <c r="I1648" s="2" t="s">
        <v>1519</v>
      </c>
      <c r="J1648" s="2" t="s">
        <v>3962</v>
      </c>
      <c r="K1648" s="2" t="s">
        <v>58</v>
      </c>
      <c r="L1648" s="2" t="s">
        <v>5873</v>
      </c>
      <c r="M1648" s="2" t="s">
        <v>0</v>
      </c>
      <c r="N1648" s="2" t="s">
        <v>0</v>
      </c>
      <c r="O1648" s="2">
        <v>11</v>
      </c>
      <c r="P1648" s="2">
        <v>13</v>
      </c>
      <c r="Q1648" s="2" t="s">
        <v>46</v>
      </c>
      <c r="R1648" s="2" t="s">
        <v>47</v>
      </c>
      <c r="S1648" s="2">
        <v>0</v>
      </c>
      <c r="T1648" s="2">
        <v>0</v>
      </c>
      <c r="U1648" s="2">
        <v>0</v>
      </c>
      <c r="V1648" s="2">
        <v>0</v>
      </c>
      <c r="W1648" s="2">
        <v>2</v>
      </c>
      <c r="X1648" s="2" t="s">
        <v>6821</v>
      </c>
      <c r="Y1648" s="2">
        <v>1</v>
      </c>
      <c r="Z1648" s="2">
        <v>1</v>
      </c>
      <c r="AA1648" s="2">
        <v>2</v>
      </c>
      <c r="AB1648" s="2">
        <v>2</v>
      </c>
      <c r="AC1648" s="2">
        <v>1</v>
      </c>
      <c r="AD1648" s="2">
        <v>2</v>
      </c>
      <c r="AE1648" s="2" t="s">
        <v>0</v>
      </c>
      <c r="AF1648" s="2">
        <v>1</v>
      </c>
      <c r="AG1648" s="2" t="s">
        <v>2231</v>
      </c>
    </row>
    <row r="1649" spans="1:33" ht="38.25" x14ac:dyDescent="0.2">
      <c r="A1649" s="5" t="str">
        <f>HYPERLINK("http://www.patentics.cn/invokexml.do?sf=ShowPatent&amp;spn=US9277522&amp;sv=0cffc492f70a7da99990b915ae3a3889","US9277522")</f>
        <v>US9277522</v>
      </c>
      <c r="B1649" s="3" t="s">
        <v>7538</v>
      </c>
      <c r="C1649" s="3" t="s">
        <v>7539</v>
      </c>
      <c r="D1649" s="3" t="s">
        <v>52</v>
      </c>
      <c r="E1649" s="3" t="s">
        <v>52</v>
      </c>
      <c r="F1649" s="3" t="s">
        <v>7540</v>
      </c>
      <c r="G1649" s="3" t="s">
        <v>7540</v>
      </c>
      <c r="H1649" s="3" t="s">
        <v>7541</v>
      </c>
      <c r="I1649" s="3" t="s">
        <v>7541</v>
      </c>
      <c r="J1649" s="3" t="s">
        <v>965</v>
      </c>
      <c r="K1649" s="3" t="s">
        <v>82</v>
      </c>
      <c r="L1649" s="3" t="s">
        <v>7542</v>
      </c>
      <c r="M1649" s="3" t="s">
        <v>82</v>
      </c>
      <c r="N1649" s="3" t="s">
        <v>4852</v>
      </c>
      <c r="O1649" s="3">
        <v>0</v>
      </c>
      <c r="P1649" s="3">
        <v>16</v>
      </c>
      <c r="Q1649" s="3" t="s">
        <v>60</v>
      </c>
      <c r="R1649" s="3" t="s">
        <v>61</v>
      </c>
      <c r="S1649" s="3">
        <v>9</v>
      </c>
      <c r="T1649" s="3">
        <v>0</v>
      </c>
      <c r="U1649" s="3">
        <v>9</v>
      </c>
      <c r="V1649" s="3">
        <v>7</v>
      </c>
      <c r="W1649" s="3">
        <v>1</v>
      </c>
      <c r="X1649" s="3" t="s">
        <v>108</v>
      </c>
      <c r="Y1649" s="3">
        <v>0</v>
      </c>
      <c r="Z1649" s="3">
        <v>1</v>
      </c>
      <c r="AA1649" s="3">
        <v>1</v>
      </c>
      <c r="AB1649" s="3">
        <v>1</v>
      </c>
      <c r="AC1649" s="3">
        <v>4</v>
      </c>
      <c r="AD1649" s="3">
        <v>4</v>
      </c>
      <c r="AE1649" s="3">
        <v>14</v>
      </c>
      <c r="AF1649" s="3" t="s">
        <v>0</v>
      </c>
      <c r="AG1649" s="3" t="s">
        <v>49</v>
      </c>
    </row>
    <row r="1650" spans="1:33" ht="25.5" x14ac:dyDescent="0.2">
      <c r="A1650" s="4" t="str">
        <f>HYPERLINK("http://www.patentics.cn/invokexml.do?sf=ShowPatent&amp;spn=CN101883147&amp;sv=8625840068f45bba3ee77a6ebe5769c8","CN101883147")</f>
        <v>CN101883147</v>
      </c>
      <c r="B1650" s="2" t="s">
        <v>7543</v>
      </c>
      <c r="C1650" s="2" t="s">
        <v>7544</v>
      </c>
      <c r="D1650" s="2" t="s">
        <v>38</v>
      </c>
      <c r="E1650" s="2" t="s">
        <v>38</v>
      </c>
      <c r="F1650" s="2" t="s">
        <v>7545</v>
      </c>
      <c r="G1650" s="2" t="s">
        <v>7546</v>
      </c>
      <c r="H1650" s="2" t="s">
        <v>3175</v>
      </c>
      <c r="I1650" s="2" t="s">
        <v>3175</v>
      </c>
      <c r="J1650" s="2" t="s">
        <v>7547</v>
      </c>
      <c r="K1650" s="2" t="s">
        <v>58</v>
      </c>
      <c r="L1650" s="2" t="s">
        <v>3167</v>
      </c>
      <c r="M1650" s="2" t="s">
        <v>0</v>
      </c>
      <c r="N1650" s="2" t="s">
        <v>0</v>
      </c>
      <c r="O1650" s="2">
        <v>11</v>
      </c>
      <c r="P1650" s="2">
        <v>14</v>
      </c>
      <c r="Q1650" s="2" t="s">
        <v>46</v>
      </c>
      <c r="R1650" s="2" t="s">
        <v>47</v>
      </c>
      <c r="S1650" s="2">
        <v>0</v>
      </c>
      <c r="T1650" s="2">
        <v>0</v>
      </c>
      <c r="U1650" s="2">
        <v>0</v>
      </c>
      <c r="V1650" s="2">
        <v>0</v>
      </c>
      <c r="W1650" s="2">
        <v>6</v>
      </c>
      <c r="X1650" s="2" t="s">
        <v>7512</v>
      </c>
      <c r="Y1650" s="2">
        <v>1</v>
      </c>
      <c r="Z1650" s="2">
        <v>5</v>
      </c>
      <c r="AA1650" s="2">
        <v>4</v>
      </c>
      <c r="AB1650" s="2">
        <v>3</v>
      </c>
      <c r="AC1650" s="2">
        <v>1</v>
      </c>
      <c r="AD1650" s="2">
        <v>1</v>
      </c>
      <c r="AE1650" s="2" t="s">
        <v>0</v>
      </c>
      <c r="AF1650" s="2">
        <v>1</v>
      </c>
      <c r="AG1650" s="2" t="s">
        <v>49</v>
      </c>
    </row>
    <row r="1651" spans="1:33" ht="102" x14ac:dyDescent="0.2">
      <c r="A1651" s="5" t="str">
        <f>HYPERLINK("http://www.patentics.cn/invokexml.do?sf=ShowPatent&amp;spn=US9525998&amp;sv=ba79d093016186b4b02915608e1f138b","US9525998")</f>
        <v>US9525998</v>
      </c>
      <c r="B1651" s="3" t="s">
        <v>7548</v>
      </c>
      <c r="C1651" s="3" t="s">
        <v>7549</v>
      </c>
      <c r="D1651" s="3" t="s">
        <v>52</v>
      </c>
      <c r="E1651" s="3" t="s">
        <v>52</v>
      </c>
      <c r="F1651" s="3" t="s">
        <v>7550</v>
      </c>
      <c r="G1651" s="3" t="s">
        <v>7551</v>
      </c>
      <c r="H1651" s="3" t="s">
        <v>7552</v>
      </c>
      <c r="I1651" s="3" t="s">
        <v>4630</v>
      </c>
      <c r="J1651" s="3" t="s">
        <v>3341</v>
      </c>
      <c r="K1651" s="3" t="s">
        <v>555</v>
      </c>
      <c r="L1651" s="3" t="s">
        <v>556</v>
      </c>
      <c r="M1651" s="3" t="s">
        <v>82</v>
      </c>
      <c r="N1651" s="3" t="s">
        <v>7553</v>
      </c>
      <c r="O1651" s="3">
        <v>0</v>
      </c>
      <c r="P1651" s="3">
        <v>18</v>
      </c>
      <c r="Q1651" s="3" t="s">
        <v>60</v>
      </c>
      <c r="R1651" s="3" t="s">
        <v>61</v>
      </c>
      <c r="S1651" s="3">
        <v>473</v>
      </c>
      <c r="T1651" s="3">
        <v>48</v>
      </c>
      <c r="U1651" s="3">
        <v>425</v>
      </c>
      <c r="V1651" s="3">
        <v>142</v>
      </c>
      <c r="W1651" s="3">
        <v>0</v>
      </c>
      <c r="X1651" s="3" t="s">
        <v>147</v>
      </c>
      <c r="Y1651" s="3">
        <v>0</v>
      </c>
      <c r="Z1651" s="3">
        <v>0</v>
      </c>
      <c r="AA1651" s="3">
        <v>0</v>
      </c>
      <c r="AB1651" s="3">
        <v>0</v>
      </c>
      <c r="AC1651" s="3">
        <v>7</v>
      </c>
      <c r="AD1651" s="3">
        <v>7</v>
      </c>
      <c r="AE1651" s="3">
        <v>14</v>
      </c>
      <c r="AF1651" s="3" t="s">
        <v>0</v>
      </c>
      <c r="AG1651" s="3" t="s">
        <v>49</v>
      </c>
    </row>
    <row r="1652" spans="1:33" ht="38.25" x14ac:dyDescent="0.2">
      <c r="A1652" s="4" t="str">
        <f>HYPERLINK("http://www.patentics.cn/invokexml.do?sf=ShowPatent&amp;spn=CN101867458&amp;sv=3c037d077f8ca017c291b07b7c6cd5bd","CN101867458")</f>
        <v>CN101867458</v>
      </c>
      <c r="B1652" s="2" t="s">
        <v>7554</v>
      </c>
      <c r="C1652" s="2" t="s">
        <v>7528</v>
      </c>
      <c r="D1652" s="2" t="s">
        <v>38</v>
      </c>
      <c r="E1652" s="2" t="s">
        <v>38</v>
      </c>
      <c r="F1652" s="2" t="s">
        <v>7555</v>
      </c>
      <c r="G1652" s="2" t="s">
        <v>5140</v>
      </c>
      <c r="H1652" s="2" t="s">
        <v>0</v>
      </c>
      <c r="I1652" s="2" t="s">
        <v>6719</v>
      </c>
      <c r="J1652" s="2" t="s">
        <v>726</v>
      </c>
      <c r="K1652" s="2" t="s">
        <v>58</v>
      </c>
      <c r="L1652" s="2" t="s">
        <v>613</v>
      </c>
      <c r="M1652" s="2" t="s">
        <v>0</v>
      </c>
      <c r="N1652" s="2" t="s">
        <v>0</v>
      </c>
      <c r="O1652" s="2">
        <v>12</v>
      </c>
      <c r="P1652" s="2">
        <v>20</v>
      </c>
      <c r="Q1652" s="2" t="s">
        <v>46</v>
      </c>
      <c r="R1652" s="2" t="s">
        <v>47</v>
      </c>
      <c r="S1652" s="2">
        <v>0</v>
      </c>
      <c r="T1652" s="2">
        <v>0</v>
      </c>
      <c r="U1652" s="2">
        <v>0</v>
      </c>
      <c r="V1652" s="2">
        <v>0</v>
      </c>
      <c r="W1652" s="2">
        <v>7</v>
      </c>
      <c r="X1652" s="2" t="s">
        <v>7556</v>
      </c>
      <c r="Y1652" s="2">
        <v>2</v>
      </c>
      <c r="Z1652" s="2">
        <v>5</v>
      </c>
      <c r="AA1652" s="2">
        <v>4</v>
      </c>
      <c r="AB1652" s="2">
        <v>3</v>
      </c>
      <c r="AC1652" s="2">
        <v>0</v>
      </c>
      <c r="AD1652" s="2">
        <v>0</v>
      </c>
      <c r="AE1652" s="2" t="s">
        <v>0</v>
      </c>
      <c r="AF1652" s="2">
        <v>1</v>
      </c>
      <c r="AG1652" s="2" t="s">
        <v>49</v>
      </c>
    </row>
    <row r="1653" spans="1:33" ht="114.75" x14ac:dyDescent="0.2">
      <c r="A1653" s="5" t="str">
        <f>HYPERLINK("http://www.patentics.cn/invokexml.do?sf=ShowPatent&amp;spn=US9559820&amp;sv=2c96fc4e4c6106c169e1c97ef71de7a3","US9559820")</f>
        <v>US9559820</v>
      </c>
      <c r="B1653" s="3" t="s">
        <v>7531</v>
      </c>
      <c r="C1653" s="3" t="s">
        <v>7532</v>
      </c>
      <c r="D1653" s="3" t="s">
        <v>52</v>
      </c>
      <c r="E1653" s="3" t="s">
        <v>52</v>
      </c>
      <c r="F1653" s="3" t="s">
        <v>7533</v>
      </c>
      <c r="G1653" s="3" t="s">
        <v>2822</v>
      </c>
      <c r="H1653" s="3" t="s">
        <v>570</v>
      </c>
      <c r="I1653" s="3" t="s">
        <v>3375</v>
      </c>
      <c r="J1653" s="3" t="s">
        <v>2399</v>
      </c>
      <c r="K1653" s="3" t="s">
        <v>58</v>
      </c>
      <c r="L1653" s="3" t="s">
        <v>7534</v>
      </c>
      <c r="M1653" s="3" t="s">
        <v>58</v>
      </c>
      <c r="N1653" s="3" t="s">
        <v>335</v>
      </c>
      <c r="O1653" s="3">
        <v>0</v>
      </c>
      <c r="P1653" s="3">
        <v>17</v>
      </c>
      <c r="Q1653" s="3" t="s">
        <v>60</v>
      </c>
      <c r="R1653" s="3" t="s">
        <v>61</v>
      </c>
      <c r="S1653" s="3">
        <v>36</v>
      </c>
      <c r="T1653" s="3">
        <v>5</v>
      </c>
      <c r="U1653" s="3">
        <v>31</v>
      </c>
      <c r="V1653" s="3">
        <v>15</v>
      </c>
      <c r="W1653" s="3">
        <v>0</v>
      </c>
      <c r="X1653" s="3" t="s">
        <v>147</v>
      </c>
      <c r="Y1653" s="3">
        <v>0</v>
      </c>
      <c r="Z1653" s="3">
        <v>0</v>
      </c>
      <c r="AA1653" s="3">
        <v>0</v>
      </c>
      <c r="AB1653" s="3">
        <v>0</v>
      </c>
      <c r="AC1653" s="3">
        <v>20</v>
      </c>
      <c r="AD1653" s="3">
        <v>7</v>
      </c>
      <c r="AE1653" s="3">
        <v>14</v>
      </c>
      <c r="AF1653" s="3" t="s">
        <v>0</v>
      </c>
      <c r="AG1653" s="3" t="s">
        <v>49</v>
      </c>
    </row>
    <row r="1654" spans="1:33" ht="38.25" x14ac:dyDescent="0.2">
      <c r="A1654" s="4" t="str">
        <f>HYPERLINK("http://www.patentics.cn/invokexml.do?sf=ShowPatent&amp;spn=CN101867953&amp;sv=1a429e53425b8d111beb0779a897e13f","CN101867953")</f>
        <v>CN101867953</v>
      </c>
      <c r="B1654" s="2" t="s">
        <v>7557</v>
      </c>
      <c r="C1654" s="2" t="s">
        <v>7558</v>
      </c>
      <c r="D1654" s="2" t="s">
        <v>38</v>
      </c>
      <c r="E1654" s="2" t="s">
        <v>38</v>
      </c>
      <c r="F1654" s="2" t="s">
        <v>7559</v>
      </c>
      <c r="G1654" s="2" t="s">
        <v>7560</v>
      </c>
      <c r="H1654" s="2" t="s">
        <v>4523</v>
      </c>
      <c r="I1654" s="2" t="s">
        <v>4523</v>
      </c>
      <c r="J1654" s="2" t="s">
        <v>726</v>
      </c>
      <c r="K1654" s="2" t="s">
        <v>82</v>
      </c>
      <c r="L1654" s="2" t="s">
        <v>806</v>
      </c>
      <c r="M1654" s="2" t="s">
        <v>0</v>
      </c>
      <c r="N1654" s="2" t="s">
        <v>0</v>
      </c>
      <c r="O1654" s="2">
        <v>30</v>
      </c>
      <c r="P1654" s="2">
        <v>9</v>
      </c>
      <c r="Q1654" s="2" t="s">
        <v>46</v>
      </c>
      <c r="R1654" s="2" t="s">
        <v>47</v>
      </c>
      <c r="S1654" s="2">
        <v>0</v>
      </c>
      <c r="T1654" s="2">
        <v>0</v>
      </c>
      <c r="U1654" s="2">
        <v>0</v>
      </c>
      <c r="V1654" s="2">
        <v>0</v>
      </c>
      <c r="W1654" s="2">
        <v>19</v>
      </c>
      <c r="X1654" s="2" t="s">
        <v>7561</v>
      </c>
      <c r="Y1654" s="2">
        <v>2</v>
      </c>
      <c r="Z1654" s="2">
        <v>17</v>
      </c>
      <c r="AA1654" s="2">
        <v>7</v>
      </c>
      <c r="AB1654" s="2">
        <v>4</v>
      </c>
      <c r="AC1654" s="2">
        <v>3</v>
      </c>
      <c r="AD1654" s="2">
        <v>4</v>
      </c>
      <c r="AE1654" s="2" t="s">
        <v>0</v>
      </c>
      <c r="AF1654" s="2">
        <v>1</v>
      </c>
      <c r="AG1654" s="2" t="s">
        <v>49</v>
      </c>
    </row>
    <row r="1655" spans="1:33" ht="38.25" x14ac:dyDescent="0.2">
      <c r="A1655" s="5" t="str">
        <f>HYPERLINK("http://www.patentics.cn/invokexml.do?sf=ShowPatent&amp;spn=US9294240&amp;sv=d872764c04c96b250c27e322ec11b916","US9294240")</f>
        <v>US9294240</v>
      </c>
      <c r="B1655" s="3" t="s">
        <v>6788</v>
      </c>
      <c r="C1655" s="3" t="s">
        <v>6789</v>
      </c>
      <c r="D1655" s="3" t="s">
        <v>52</v>
      </c>
      <c r="E1655" s="3" t="s">
        <v>52</v>
      </c>
      <c r="F1655" s="3" t="s">
        <v>6790</v>
      </c>
      <c r="G1655" s="3" t="s">
        <v>944</v>
      </c>
      <c r="H1655" s="3" t="s">
        <v>6791</v>
      </c>
      <c r="I1655" s="3" t="s">
        <v>6792</v>
      </c>
      <c r="J1655" s="3" t="s">
        <v>696</v>
      </c>
      <c r="K1655" s="3" t="s">
        <v>82</v>
      </c>
      <c r="L1655" s="3" t="s">
        <v>83</v>
      </c>
      <c r="M1655" s="3" t="s">
        <v>58</v>
      </c>
      <c r="N1655" s="3" t="s">
        <v>6793</v>
      </c>
      <c r="O1655" s="3">
        <v>0</v>
      </c>
      <c r="P1655" s="3">
        <v>20</v>
      </c>
      <c r="Q1655" s="3" t="s">
        <v>60</v>
      </c>
      <c r="R1655" s="3" t="s">
        <v>61</v>
      </c>
      <c r="S1655" s="3">
        <v>15</v>
      </c>
      <c r="T1655" s="3">
        <v>0</v>
      </c>
      <c r="U1655" s="3">
        <v>15</v>
      </c>
      <c r="V1655" s="3">
        <v>5</v>
      </c>
      <c r="W1655" s="3">
        <v>0</v>
      </c>
      <c r="X1655" s="3" t="s">
        <v>147</v>
      </c>
      <c r="Y1655" s="3">
        <v>0</v>
      </c>
      <c r="Z1655" s="3">
        <v>0</v>
      </c>
      <c r="AA1655" s="3">
        <v>0</v>
      </c>
      <c r="AB1655" s="3">
        <v>0</v>
      </c>
      <c r="AC1655" s="3">
        <v>9</v>
      </c>
      <c r="AD1655" s="3">
        <v>6</v>
      </c>
      <c r="AE1655" s="3">
        <v>14</v>
      </c>
      <c r="AF1655" s="3" t="s">
        <v>0</v>
      </c>
      <c r="AG1655" s="3" t="s">
        <v>49</v>
      </c>
    </row>
    <row r="1656" spans="1:33" ht="25.5" x14ac:dyDescent="0.2">
      <c r="A1656" s="4" t="str">
        <f>HYPERLINK("http://www.patentics.cn/invokexml.do?sf=ShowPatent&amp;spn=CN101854638&amp;sv=29ee736c27a27f5e9b5650621621ab69","CN101854638")</f>
        <v>CN101854638</v>
      </c>
      <c r="B1656" s="2" t="s">
        <v>7562</v>
      </c>
      <c r="C1656" s="2" t="s">
        <v>7563</v>
      </c>
      <c r="D1656" s="2" t="s">
        <v>38</v>
      </c>
      <c r="E1656" s="2" t="s">
        <v>38</v>
      </c>
      <c r="F1656" s="2" t="s">
        <v>7564</v>
      </c>
      <c r="G1656" s="2" t="s">
        <v>7565</v>
      </c>
      <c r="H1656" s="2" t="s">
        <v>6036</v>
      </c>
      <c r="I1656" s="2" t="s">
        <v>6036</v>
      </c>
      <c r="J1656" s="2" t="s">
        <v>5256</v>
      </c>
      <c r="K1656" s="2" t="s">
        <v>82</v>
      </c>
      <c r="L1656" s="2" t="s">
        <v>2712</v>
      </c>
      <c r="M1656" s="2" t="s">
        <v>0</v>
      </c>
      <c r="N1656" s="2" t="s">
        <v>0</v>
      </c>
      <c r="O1656" s="2">
        <v>10</v>
      </c>
      <c r="P1656" s="2">
        <v>17</v>
      </c>
      <c r="Q1656" s="2" t="s">
        <v>46</v>
      </c>
      <c r="R1656" s="2" t="s">
        <v>47</v>
      </c>
      <c r="S1656" s="2">
        <v>0</v>
      </c>
      <c r="T1656" s="2">
        <v>0</v>
      </c>
      <c r="U1656" s="2">
        <v>0</v>
      </c>
      <c r="V1656" s="2">
        <v>0</v>
      </c>
      <c r="W1656" s="2">
        <v>2</v>
      </c>
      <c r="X1656" s="2" t="s">
        <v>5807</v>
      </c>
      <c r="Y1656" s="2">
        <v>0</v>
      </c>
      <c r="Z1656" s="2">
        <v>2</v>
      </c>
      <c r="AA1656" s="2">
        <v>2</v>
      </c>
      <c r="AB1656" s="2">
        <v>2</v>
      </c>
      <c r="AC1656" s="2">
        <v>1</v>
      </c>
      <c r="AD1656" s="2">
        <v>2</v>
      </c>
      <c r="AE1656" s="2" t="s">
        <v>0</v>
      </c>
      <c r="AF1656" s="2">
        <v>1</v>
      </c>
      <c r="AG1656" s="2" t="s">
        <v>547</v>
      </c>
    </row>
    <row r="1657" spans="1:33" ht="38.25" x14ac:dyDescent="0.2">
      <c r="A1657" s="5" t="str">
        <f>HYPERLINK("http://www.patentics.cn/invokexml.do?sf=ShowPatent&amp;spn=WO2014139174&amp;sv=7c3a9e49629ee3b23cc5630196b2b7a2","WO2014139174")</f>
        <v>WO2014139174</v>
      </c>
      <c r="B1657" s="3" t="s">
        <v>7566</v>
      </c>
      <c r="C1657" s="3" t="s">
        <v>7567</v>
      </c>
      <c r="D1657" s="3" t="s">
        <v>7568</v>
      </c>
      <c r="E1657" s="3" t="s">
        <v>7569</v>
      </c>
      <c r="F1657" s="3" t="s">
        <v>7570</v>
      </c>
      <c r="G1657" s="3" t="s">
        <v>7571</v>
      </c>
      <c r="H1657" s="3" t="s">
        <v>3387</v>
      </c>
      <c r="I1657" s="3" t="s">
        <v>3387</v>
      </c>
      <c r="J1657" s="3" t="s">
        <v>1087</v>
      </c>
      <c r="K1657" s="3" t="s">
        <v>82</v>
      </c>
      <c r="L1657" s="3" t="s">
        <v>2789</v>
      </c>
      <c r="M1657" s="3" t="s">
        <v>0</v>
      </c>
      <c r="N1657" s="3" t="s">
        <v>0</v>
      </c>
      <c r="O1657" s="3">
        <v>9</v>
      </c>
      <c r="P1657" s="3">
        <v>9</v>
      </c>
      <c r="Q1657" s="3" t="s">
        <v>352</v>
      </c>
      <c r="R1657" s="3" t="s">
        <v>47</v>
      </c>
      <c r="S1657" s="3">
        <v>3</v>
      </c>
      <c r="T1657" s="3">
        <v>0</v>
      </c>
      <c r="U1657" s="3">
        <v>3</v>
      </c>
      <c r="V1657" s="3">
        <v>2</v>
      </c>
      <c r="W1657" s="3">
        <v>3</v>
      </c>
      <c r="X1657" s="3" t="s">
        <v>1501</v>
      </c>
      <c r="Y1657" s="3">
        <v>0</v>
      </c>
      <c r="Z1657" s="3">
        <v>3</v>
      </c>
      <c r="AA1657" s="3">
        <v>2</v>
      </c>
      <c r="AB1657" s="3">
        <v>2</v>
      </c>
      <c r="AC1657" s="3">
        <v>3</v>
      </c>
      <c r="AD1657" s="3">
        <v>4</v>
      </c>
      <c r="AE1657" s="3">
        <v>14</v>
      </c>
      <c r="AF1657" s="3" t="s">
        <v>0</v>
      </c>
      <c r="AG1657" s="3" t="s">
        <v>0</v>
      </c>
    </row>
    <row r="1658" spans="1:33" ht="25.5" x14ac:dyDescent="0.2">
      <c r="A1658" s="4" t="str">
        <f>HYPERLINK("http://www.patentics.cn/invokexml.do?sf=ShowPatent&amp;spn=CN101834701&amp;sv=14e4ddc346ca9dcc41595d021384e93b","CN101834701")</f>
        <v>CN101834701</v>
      </c>
      <c r="B1658" s="2" t="s">
        <v>7572</v>
      </c>
      <c r="C1658" s="2" t="s">
        <v>7573</v>
      </c>
      <c r="D1658" s="2" t="s">
        <v>38</v>
      </c>
      <c r="E1658" s="2" t="s">
        <v>38</v>
      </c>
      <c r="F1658" s="2" t="s">
        <v>5126</v>
      </c>
      <c r="G1658" s="2" t="s">
        <v>1297</v>
      </c>
      <c r="H1658" s="2" t="s">
        <v>0</v>
      </c>
      <c r="I1658" s="2" t="s">
        <v>844</v>
      </c>
      <c r="J1658" s="2" t="s">
        <v>983</v>
      </c>
      <c r="K1658" s="2" t="s">
        <v>58</v>
      </c>
      <c r="L1658" s="2" t="s">
        <v>613</v>
      </c>
      <c r="M1658" s="2" t="s">
        <v>0</v>
      </c>
      <c r="N1658" s="2" t="s">
        <v>0</v>
      </c>
      <c r="O1658" s="2">
        <v>8</v>
      </c>
      <c r="P1658" s="2">
        <v>26</v>
      </c>
      <c r="Q1658" s="2" t="s">
        <v>46</v>
      </c>
      <c r="R1658" s="2" t="s">
        <v>47</v>
      </c>
      <c r="S1658" s="2">
        <v>0</v>
      </c>
      <c r="T1658" s="2">
        <v>0</v>
      </c>
      <c r="U1658" s="2">
        <v>0</v>
      </c>
      <c r="V1658" s="2">
        <v>0</v>
      </c>
      <c r="W1658" s="2">
        <v>18</v>
      </c>
      <c r="X1658" s="2" t="s">
        <v>7574</v>
      </c>
      <c r="Y1658" s="2">
        <v>5</v>
      </c>
      <c r="Z1658" s="2">
        <v>13</v>
      </c>
      <c r="AA1658" s="2">
        <v>8</v>
      </c>
      <c r="AB1658" s="2">
        <v>3</v>
      </c>
      <c r="AC1658" s="2">
        <v>0</v>
      </c>
      <c r="AD1658" s="2">
        <v>0</v>
      </c>
      <c r="AE1658" s="2" t="s">
        <v>0</v>
      </c>
      <c r="AF1658" s="2">
        <v>1</v>
      </c>
      <c r="AG1658" s="2" t="s">
        <v>49</v>
      </c>
    </row>
    <row r="1659" spans="1:33" ht="76.5" x14ac:dyDescent="0.2">
      <c r="A1659" s="5" t="str">
        <f>HYPERLINK("http://www.patentics.cn/invokexml.do?sf=ShowPatent&amp;spn=WO2014166067&amp;sv=4bf1b1ca791e4b0b6cccbdd1c214a2c6","WO2014166067")</f>
        <v>WO2014166067</v>
      </c>
      <c r="B1659" s="3" t="s">
        <v>7575</v>
      </c>
      <c r="C1659" s="3" t="s">
        <v>7576</v>
      </c>
      <c r="D1659" s="3" t="s">
        <v>7577</v>
      </c>
      <c r="E1659" s="3" t="s">
        <v>7578</v>
      </c>
      <c r="F1659" s="3" t="s">
        <v>7579</v>
      </c>
      <c r="G1659" s="3" t="s">
        <v>2732</v>
      </c>
      <c r="H1659" s="3" t="s">
        <v>7580</v>
      </c>
      <c r="I1659" s="3" t="s">
        <v>7580</v>
      </c>
      <c r="J1659" s="3" t="s">
        <v>7581</v>
      </c>
      <c r="K1659" s="3" t="s">
        <v>82</v>
      </c>
      <c r="L1659" s="3" t="s">
        <v>2015</v>
      </c>
      <c r="M1659" s="3" t="s">
        <v>0</v>
      </c>
      <c r="N1659" s="3" t="s">
        <v>0</v>
      </c>
      <c r="O1659" s="3">
        <v>32</v>
      </c>
      <c r="P1659" s="3">
        <v>8</v>
      </c>
      <c r="Q1659" s="3" t="s">
        <v>352</v>
      </c>
      <c r="R1659" s="3" t="s">
        <v>47</v>
      </c>
      <c r="S1659" s="3">
        <v>4</v>
      </c>
      <c r="T1659" s="3">
        <v>1</v>
      </c>
      <c r="U1659" s="3">
        <v>3</v>
      </c>
      <c r="V1659" s="3">
        <v>4</v>
      </c>
      <c r="W1659" s="3">
        <v>0</v>
      </c>
      <c r="X1659" s="3" t="s">
        <v>147</v>
      </c>
      <c r="Y1659" s="3">
        <v>0</v>
      </c>
      <c r="Z1659" s="3">
        <v>0</v>
      </c>
      <c r="AA1659" s="3">
        <v>0</v>
      </c>
      <c r="AB1659" s="3">
        <v>0</v>
      </c>
      <c r="AC1659" s="3">
        <v>3</v>
      </c>
      <c r="AD1659" s="3">
        <v>4</v>
      </c>
      <c r="AE1659" s="3">
        <v>14</v>
      </c>
      <c r="AF1659" s="3" t="s">
        <v>0</v>
      </c>
      <c r="AG1659" s="3" t="s">
        <v>0</v>
      </c>
    </row>
    <row r="1660" spans="1:33" ht="25.5" x14ac:dyDescent="0.2">
      <c r="A1660" s="4" t="str">
        <f>HYPERLINK("http://www.patentics.cn/invokexml.do?sf=ShowPatent&amp;spn=CN101827313&amp;sv=f26a874b95333f245ef63c3a1a7672f2","CN101827313")</f>
        <v>CN101827313</v>
      </c>
      <c r="B1660" s="2" t="s">
        <v>7582</v>
      </c>
      <c r="C1660" s="2" t="s">
        <v>7583</v>
      </c>
      <c r="D1660" s="2" t="s">
        <v>38</v>
      </c>
      <c r="E1660" s="2" t="s">
        <v>38</v>
      </c>
      <c r="F1660" s="2" t="s">
        <v>7584</v>
      </c>
      <c r="G1660" s="2" t="s">
        <v>7585</v>
      </c>
      <c r="H1660" s="2" t="s">
        <v>0</v>
      </c>
      <c r="I1660" s="2" t="s">
        <v>3079</v>
      </c>
      <c r="J1660" s="2" t="s">
        <v>1183</v>
      </c>
      <c r="K1660" s="2" t="s">
        <v>82</v>
      </c>
      <c r="L1660" s="2" t="s">
        <v>1767</v>
      </c>
      <c r="M1660" s="2" t="s">
        <v>0</v>
      </c>
      <c r="N1660" s="2" t="s">
        <v>0</v>
      </c>
      <c r="O1660" s="2">
        <v>12</v>
      </c>
      <c r="P1660" s="2">
        <v>7</v>
      </c>
      <c r="Q1660" s="2" t="s">
        <v>46</v>
      </c>
      <c r="R1660" s="2" t="s">
        <v>47</v>
      </c>
      <c r="S1660" s="2">
        <v>0</v>
      </c>
      <c r="T1660" s="2">
        <v>0</v>
      </c>
      <c r="U1660" s="2">
        <v>0</v>
      </c>
      <c r="V1660" s="2">
        <v>0</v>
      </c>
      <c r="W1660" s="2">
        <v>1</v>
      </c>
      <c r="X1660" s="2" t="s">
        <v>403</v>
      </c>
      <c r="Y1660" s="2">
        <v>0</v>
      </c>
      <c r="Z1660" s="2">
        <v>1</v>
      </c>
      <c r="AA1660" s="2">
        <v>1</v>
      </c>
      <c r="AB1660" s="2">
        <v>1</v>
      </c>
      <c r="AC1660" s="2">
        <v>0</v>
      </c>
      <c r="AD1660" s="2">
        <v>0</v>
      </c>
      <c r="AE1660" s="2" t="s">
        <v>0</v>
      </c>
      <c r="AF1660" s="2">
        <v>1</v>
      </c>
      <c r="AG1660" s="2" t="s">
        <v>547</v>
      </c>
    </row>
    <row r="1661" spans="1:33" ht="51" x14ac:dyDescent="0.2">
      <c r="A1661" s="5" t="str">
        <f>HYPERLINK("http://www.patentics.cn/invokexml.do?sf=ShowPatent&amp;spn=US9548869&amp;sv=9a7c0312113f7ede7b50c42c4f6d169e","US9548869")</f>
        <v>US9548869</v>
      </c>
      <c r="B1661" s="3" t="s">
        <v>7464</v>
      </c>
      <c r="C1661" s="3" t="s">
        <v>7465</v>
      </c>
      <c r="D1661" s="3" t="s">
        <v>52</v>
      </c>
      <c r="E1661" s="3" t="s">
        <v>52</v>
      </c>
      <c r="F1661" s="3" t="s">
        <v>7466</v>
      </c>
      <c r="G1661" s="3" t="s">
        <v>7466</v>
      </c>
      <c r="H1661" s="3" t="s">
        <v>957</v>
      </c>
      <c r="I1661" s="3" t="s">
        <v>7467</v>
      </c>
      <c r="J1661" s="3" t="s">
        <v>7468</v>
      </c>
      <c r="K1661" s="3" t="s">
        <v>58</v>
      </c>
      <c r="L1661" s="3" t="s">
        <v>4508</v>
      </c>
      <c r="M1661" s="3" t="s">
        <v>58</v>
      </c>
      <c r="N1661" s="3" t="s">
        <v>7469</v>
      </c>
      <c r="O1661" s="3">
        <v>0</v>
      </c>
      <c r="P1661" s="3">
        <v>18</v>
      </c>
      <c r="Q1661" s="3" t="s">
        <v>60</v>
      </c>
      <c r="R1661" s="3" t="s">
        <v>61</v>
      </c>
      <c r="S1661" s="3">
        <v>18</v>
      </c>
      <c r="T1661" s="3">
        <v>4</v>
      </c>
      <c r="U1661" s="3">
        <v>14</v>
      </c>
      <c r="V1661" s="3">
        <v>11</v>
      </c>
      <c r="W1661" s="3">
        <v>0</v>
      </c>
      <c r="X1661" s="3" t="s">
        <v>147</v>
      </c>
      <c r="Y1661" s="3">
        <v>0</v>
      </c>
      <c r="Z1661" s="3">
        <v>0</v>
      </c>
      <c r="AA1661" s="3">
        <v>0</v>
      </c>
      <c r="AB1661" s="3">
        <v>0</v>
      </c>
      <c r="AC1661" s="3">
        <v>8</v>
      </c>
      <c r="AD1661" s="3">
        <v>5</v>
      </c>
      <c r="AE1661" s="3">
        <v>14</v>
      </c>
      <c r="AF1661" s="3" t="s">
        <v>0</v>
      </c>
      <c r="AG1661" s="3" t="s">
        <v>49</v>
      </c>
    </row>
    <row r="1662" spans="1:33" ht="63.75" x14ac:dyDescent="0.2">
      <c r="A1662" s="4" t="str">
        <f>HYPERLINK("http://www.patentics.cn/invokexml.do?sf=ShowPatent&amp;spn=CN101827387&amp;sv=9be4c268da0241a52ad5fa9cb960f729","CN101827387")</f>
        <v>CN101827387</v>
      </c>
      <c r="B1662" s="2" t="s">
        <v>7586</v>
      </c>
      <c r="C1662" s="2" t="s">
        <v>7587</v>
      </c>
      <c r="D1662" s="2" t="s">
        <v>38</v>
      </c>
      <c r="E1662" s="2" t="s">
        <v>38</v>
      </c>
      <c r="F1662" s="2" t="s">
        <v>7588</v>
      </c>
      <c r="G1662" s="2" t="s">
        <v>7589</v>
      </c>
      <c r="H1662" s="2" t="s">
        <v>0</v>
      </c>
      <c r="I1662" s="2" t="s">
        <v>1587</v>
      </c>
      <c r="J1662" s="2" t="s">
        <v>1183</v>
      </c>
      <c r="K1662" s="2" t="s">
        <v>82</v>
      </c>
      <c r="L1662" s="2" t="s">
        <v>2215</v>
      </c>
      <c r="M1662" s="2" t="s">
        <v>0</v>
      </c>
      <c r="N1662" s="2" t="s">
        <v>0</v>
      </c>
      <c r="O1662" s="2">
        <v>10</v>
      </c>
      <c r="P1662" s="2">
        <v>22</v>
      </c>
      <c r="Q1662" s="2" t="s">
        <v>46</v>
      </c>
      <c r="R1662" s="2" t="s">
        <v>47</v>
      </c>
      <c r="S1662" s="2">
        <v>0</v>
      </c>
      <c r="T1662" s="2">
        <v>0</v>
      </c>
      <c r="U1662" s="2">
        <v>0</v>
      </c>
      <c r="V1662" s="2">
        <v>0</v>
      </c>
      <c r="W1662" s="2">
        <v>10</v>
      </c>
      <c r="X1662" s="2" t="s">
        <v>7590</v>
      </c>
      <c r="Y1662" s="2">
        <v>4</v>
      </c>
      <c r="Z1662" s="2">
        <v>6</v>
      </c>
      <c r="AA1662" s="2">
        <v>5</v>
      </c>
      <c r="AB1662" s="2">
        <v>2</v>
      </c>
      <c r="AC1662" s="2">
        <v>0</v>
      </c>
      <c r="AD1662" s="2">
        <v>0</v>
      </c>
      <c r="AE1662" s="2" t="s">
        <v>0</v>
      </c>
      <c r="AF1662" s="2">
        <v>1</v>
      </c>
      <c r="AG1662" s="2" t="s">
        <v>2523</v>
      </c>
    </row>
    <row r="1663" spans="1:33" ht="38.25" x14ac:dyDescent="0.2">
      <c r="A1663" s="5" t="str">
        <f>HYPERLINK("http://www.patentics.cn/invokexml.do?sf=ShowPatent&amp;spn=US9307431&amp;sv=1a846b346b537dd92005947ba3df1b87","US9307431")</f>
        <v>US9307431</v>
      </c>
      <c r="B1663" s="3" t="s">
        <v>7591</v>
      </c>
      <c r="C1663" s="3" t="s">
        <v>7592</v>
      </c>
      <c r="D1663" s="3" t="s">
        <v>52</v>
      </c>
      <c r="E1663" s="3" t="s">
        <v>52</v>
      </c>
      <c r="F1663" s="3" t="s">
        <v>7593</v>
      </c>
      <c r="G1663" s="3" t="s">
        <v>944</v>
      </c>
      <c r="H1663" s="3" t="s">
        <v>7594</v>
      </c>
      <c r="I1663" s="3" t="s">
        <v>7595</v>
      </c>
      <c r="J1663" s="3" t="s">
        <v>317</v>
      </c>
      <c r="K1663" s="3" t="s">
        <v>82</v>
      </c>
      <c r="L1663" s="3" t="s">
        <v>2082</v>
      </c>
      <c r="M1663" s="3" t="s">
        <v>82</v>
      </c>
      <c r="N1663" s="3" t="s">
        <v>799</v>
      </c>
      <c r="O1663" s="3">
        <v>0</v>
      </c>
      <c r="P1663" s="3">
        <v>18</v>
      </c>
      <c r="Q1663" s="3" t="s">
        <v>60</v>
      </c>
      <c r="R1663" s="3" t="s">
        <v>61</v>
      </c>
      <c r="S1663" s="3">
        <v>159</v>
      </c>
      <c r="T1663" s="3">
        <v>50</v>
      </c>
      <c r="U1663" s="3">
        <v>109</v>
      </c>
      <c r="V1663" s="3">
        <v>36</v>
      </c>
      <c r="W1663" s="3">
        <v>8</v>
      </c>
      <c r="X1663" s="3" t="s">
        <v>147</v>
      </c>
      <c r="Y1663" s="3">
        <v>0</v>
      </c>
      <c r="Z1663" s="3">
        <v>8</v>
      </c>
      <c r="AA1663" s="3">
        <v>0</v>
      </c>
      <c r="AB1663" s="3">
        <v>1</v>
      </c>
      <c r="AC1663" s="3">
        <v>9</v>
      </c>
      <c r="AD1663" s="3">
        <v>6</v>
      </c>
      <c r="AE1663" s="3">
        <v>14</v>
      </c>
      <c r="AF1663" s="3" t="s">
        <v>0</v>
      </c>
      <c r="AG1663" s="3" t="s">
        <v>49</v>
      </c>
    </row>
    <row r="1664" spans="1:33" ht="38.25" x14ac:dyDescent="0.2">
      <c r="A1664" s="4" t="str">
        <f>HYPERLINK("http://www.patentics.cn/invokexml.do?sf=ShowPatent&amp;spn=CN101820584&amp;sv=a08df77c6d6a135118d49af8f52d64ca","CN101820584")</f>
        <v>CN101820584</v>
      </c>
      <c r="B1664" s="2" t="s">
        <v>7596</v>
      </c>
      <c r="C1664" s="2" t="s">
        <v>7597</v>
      </c>
      <c r="D1664" s="2" t="s">
        <v>38</v>
      </c>
      <c r="E1664" s="2" t="s">
        <v>38</v>
      </c>
      <c r="F1664" s="2" t="s">
        <v>7598</v>
      </c>
      <c r="G1664" s="2" t="s">
        <v>7599</v>
      </c>
      <c r="H1664" s="2" t="s">
        <v>681</v>
      </c>
      <c r="I1664" s="2" t="s">
        <v>681</v>
      </c>
      <c r="J1664" s="2" t="s">
        <v>3245</v>
      </c>
      <c r="K1664" s="2" t="s">
        <v>82</v>
      </c>
      <c r="L1664" s="2" t="s">
        <v>1767</v>
      </c>
      <c r="M1664" s="2" t="s">
        <v>0</v>
      </c>
      <c r="N1664" s="2" t="s">
        <v>0</v>
      </c>
      <c r="O1664" s="2">
        <v>19</v>
      </c>
      <c r="P1664" s="2">
        <v>21</v>
      </c>
      <c r="Q1664" s="2" t="s">
        <v>46</v>
      </c>
      <c r="R1664" s="2" t="s">
        <v>47</v>
      </c>
      <c r="S1664" s="2">
        <v>0</v>
      </c>
      <c r="T1664" s="2">
        <v>0</v>
      </c>
      <c r="U1664" s="2">
        <v>0</v>
      </c>
      <c r="V1664" s="2">
        <v>0</v>
      </c>
      <c r="W1664" s="2">
        <v>2</v>
      </c>
      <c r="X1664" s="2" t="s">
        <v>2120</v>
      </c>
      <c r="Y1664" s="2">
        <v>0</v>
      </c>
      <c r="Z1664" s="2">
        <v>2</v>
      </c>
      <c r="AA1664" s="2">
        <v>2</v>
      </c>
      <c r="AB1664" s="2">
        <v>1</v>
      </c>
      <c r="AC1664" s="2">
        <v>1</v>
      </c>
      <c r="AD1664" s="2">
        <v>1</v>
      </c>
      <c r="AE1664" s="2" t="s">
        <v>0</v>
      </c>
      <c r="AF1664" s="2">
        <v>1</v>
      </c>
      <c r="AG1664" s="2" t="s">
        <v>49</v>
      </c>
    </row>
    <row r="1665" spans="1:33" ht="25.5" x14ac:dyDescent="0.2">
      <c r="A1665" s="5" t="str">
        <f>HYPERLINK("http://www.patentics.cn/invokexml.do?sf=ShowPatent&amp;spn=CN103098531B&amp;sv=1f25841d030ee4759df107887a0d12b2","CN103098531B")</f>
        <v>CN103098531B</v>
      </c>
      <c r="B1665" s="3" t="s">
        <v>7600</v>
      </c>
      <c r="C1665" s="3" t="s">
        <v>7601</v>
      </c>
      <c r="D1665" s="3" t="s">
        <v>338</v>
      </c>
      <c r="E1665" s="3" t="s">
        <v>338</v>
      </c>
      <c r="F1665" s="3" t="s">
        <v>7602</v>
      </c>
      <c r="G1665" s="3" t="s">
        <v>7603</v>
      </c>
      <c r="H1665" s="3" t="s">
        <v>7604</v>
      </c>
      <c r="I1665" s="3" t="s">
        <v>7605</v>
      </c>
      <c r="J1665" s="3" t="s">
        <v>2516</v>
      </c>
      <c r="K1665" s="3" t="s">
        <v>82</v>
      </c>
      <c r="L1665" s="3" t="s">
        <v>244</v>
      </c>
      <c r="M1665" s="3" t="s">
        <v>0</v>
      </c>
      <c r="N1665" s="3" t="s">
        <v>0</v>
      </c>
      <c r="O1665" s="3">
        <v>51</v>
      </c>
      <c r="P1665" s="3">
        <v>16</v>
      </c>
      <c r="Q1665" s="3" t="s">
        <v>60</v>
      </c>
      <c r="R1665" s="3" t="s">
        <v>61</v>
      </c>
      <c r="S1665" s="3">
        <v>4</v>
      </c>
      <c r="T1665" s="3">
        <v>2</v>
      </c>
      <c r="U1665" s="3">
        <v>2</v>
      </c>
      <c r="V1665" s="3">
        <v>3</v>
      </c>
      <c r="W1665" s="3">
        <v>14</v>
      </c>
      <c r="X1665" s="3" t="s">
        <v>147</v>
      </c>
      <c r="Y1665" s="3">
        <v>0</v>
      </c>
      <c r="Z1665" s="3">
        <v>14</v>
      </c>
      <c r="AA1665" s="3">
        <v>0</v>
      </c>
      <c r="AB1665" s="3">
        <v>1</v>
      </c>
      <c r="AC1665" s="3">
        <v>0</v>
      </c>
      <c r="AD1665" s="3">
        <v>0</v>
      </c>
      <c r="AE1665" s="3">
        <v>14</v>
      </c>
      <c r="AF1665" s="3" t="s">
        <v>0</v>
      </c>
      <c r="AG1665" s="3" t="s">
        <v>49</v>
      </c>
    </row>
    <row r="1666" spans="1:33" x14ac:dyDescent="0.2">
      <c r="A1666" s="4" t="str">
        <f>HYPERLINK("http://www.patentics.cn/invokexml.do?sf=ShowPatent&amp;spn=CN101800975&amp;sv=05a9dc1ed64ddf0d3362289ab698f202","CN101800975")</f>
        <v>CN101800975</v>
      </c>
      <c r="B1666" s="2" t="s">
        <v>7606</v>
      </c>
      <c r="C1666" s="2" t="s">
        <v>7607</v>
      </c>
      <c r="D1666" s="2" t="s">
        <v>3746</v>
      </c>
      <c r="E1666" s="2" t="s">
        <v>38</v>
      </c>
      <c r="F1666" s="2" t="s">
        <v>3748</v>
      </c>
      <c r="G1666" s="2" t="s">
        <v>3748</v>
      </c>
      <c r="H1666" s="2" t="s">
        <v>1441</v>
      </c>
      <c r="I1666" s="2" t="s">
        <v>1442</v>
      </c>
      <c r="J1666" s="2" t="s">
        <v>7608</v>
      </c>
      <c r="K1666" s="2" t="s">
        <v>82</v>
      </c>
      <c r="L1666" s="2" t="s">
        <v>2071</v>
      </c>
      <c r="M1666" s="2" t="s">
        <v>0</v>
      </c>
      <c r="N1666" s="2" t="s">
        <v>0</v>
      </c>
      <c r="O1666" s="2">
        <v>48</v>
      </c>
      <c r="P1666" s="2">
        <v>9</v>
      </c>
      <c r="Q1666" s="2" t="s">
        <v>46</v>
      </c>
      <c r="R1666" s="2" t="s">
        <v>61</v>
      </c>
      <c r="S1666" s="2">
        <v>0</v>
      </c>
      <c r="T1666" s="2">
        <v>0</v>
      </c>
      <c r="U1666" s="2">
        <v>0</v>
      </c>
      <c r="V1666" s="2">
        <v>0</v>
      </c>
      <c r="W1666" s="2">
        <v>3</v>
      </c>
      <c r="X1666" s="2" t="s">
        <v>7609</v>
      </c>
      <c r="Y1666" s="2">
        <v>0</v>
      </c>
      <c r="Z1666" s="2">
        <v>3</v>
      </c>
      <c r="AA1666" s="2">
        <v>2</v>
      </c>
      <c r="AB1666" s="2">
        <v>2</v>
      </c>
      <c r="AC1666" s="2">
        <v>5</v>
      </c>
      <c r="AD1666" s="2">
        <v>2</v>
      </c>
      <c r="AE1666" s="2" t="s">
        <v>0</v>
      </c>
      <c r="AF1666" s="2">
        <v>1</v>
      </c>
      <c r="AG1666" s="2" t="s">
        <v>49</v>
      </c>
    </row>
    <row r="1667" spans="1:33" ht="25.5" x14ac:dyDescent="0.2">
      <c r="A1667" s="5" t="str">
        <f>HYPERLINK("http://www.patentics.cn/invokexml.do?sf=ShowPatent&amp;spn=CN103250438B&amp;sv=3536a7c1970ae0d59613c099ad0f03ac","CN103250438B")</f>
        <v>CN103250438B</v>
      </c>
      <c r="B1667" s="3" t="s">
        <v>7610</v>
      </c>
      <c r="C1667" s="3" t="s">
        <v>7611</v>
      </c>
      <c r="D1667" s="3" t="s">
        <v>338</v>
      </c>
      <c r="E1667" s="3" t="s">
        <v>338</v>
      </c>
      <c r="F1667" s="3" t="s">
        <v>4119</v>
      </c>
      <c r="G1667" s="3" t="s">
        <v>4120</v>
      </c>
      <c r="H1667" s="3" t="s">
        <v>1465</v>
      </c>
      <c r="I1667" s="3" t="s">
        <v>1488</v>
      </c>
      <c r="J1667" s="3" t="s">
        <v>4122</v>
      </c>
      <c r="K1667" s="3" t="s">
        <v>82</v>
      </c>
      <c r="L1667" s="3" t="s">
        <v>1490</v>
      </c>
      <c r="M1667" s="3" t="s">
        <v>0</v>
      </c>
      <c r="N1667" s="3" t="s">
        <v>0</v>
      </c>
      <c r="O1667" s="3">
        <v>12</v>
      </c>
      <c r="P1667" s="3">
        <v>32</v>
      </c>
      <c r="Q1667" s="3" t="s">
        <v>60</v>
      </c>
      <c r="R1667" s="3" t="s">
        <v>61</v>
      </c>
      <c r="S1667" s="3">
        <v>6</v>
      </c>
      <c r="T1667" s="3">
        <v>0</v>
      </c>
      <c r="U1667" s="3">
        <v>6</v>
      </c>
      <c r="V1667" s="3">
        <v>6</v>
      </c>
      <c r="W1667" s="3">
        <v>0</v>
      </c>
      <c r="X1667" s="3" t="s">
        <v>147</v>
      </c>
      <c r="Y1667" s="3">
        <v>0</v>
      </c>
      <c r="Z1667" s="3">
        <v>0</v>
      </c>
      <c r="AA1667" s="3">
        <v>0</v>
      </c>
      <c r="AB1667" s="3">
        <v>0</v>
      </c>
      <c r="AC1667" s="3">
        <v>0</v>
      </c>
      <c r="AD1667" s="3">
        <v>0</v>
      </c>
      <c r="AE1667" s="3">
        <v>14</v>
      </c>
      <c r="AF1667" s="3" t="s">
        <v>0</v>
      </c>
      <c r="AG1667" s="3" t="s">
        <v>49</v>
      </c>
    </row>
    <row r="1668" spans="1:33" ht="25.5" x14ac:dyDescent="0.2">
      <c r="A1668" s="4" t="str">
        <f>HYPERLINK("http://www.patentics.cn/invokexml.do?sf=ShowPatent&amp;spn=CN101795328&amp;sv=db5aabbef27dcbae34f61255776930ce","CN101795328")</f>
        <v>CN101795328</v>
      </c>
      <c r="B1668" s="2" t="s">
        <v>7612</v>
      </c>
      <c r="C1668" s="2" t="s">
        <v>7613</v>
      </c>
      <c r="D1668" s="2" t="s">
        <v>38</v>
      </c>
      <c r="E1668" s="2" t="s">
        <v>38</v>
      </c>
      <c r="F1668" s="2" t="s">
        <v>7614</v>
      </c>
      <c r="G1668" s="2" t="s">
        <v>7614</v>
      </c>
      <c r="H1668" s="2" t="s">
        <v>931</v>
      </c>
      <c r="I1668" s="2" t="s">
        <v>931</v>
      </c>
      <c r="J1668" s="2" t="s">
        <v>1037</v>
      </c>
      <c r="K1668" s="2" t="s">
        <v>270</v>
      </c>
      <c r="L1668" s="2" t="s">
        <v>5631</v>
      </c>
      <c r="M1668" s="2" t="s">
        <v>0</v>
      </c>
      <c r="N1668" s="2" t="s">
        <v>0</v>
      </c>
      <c r="O1668" s="2">
        <v>10</v>
      </c>
      <c r="P1668" s="2">
        <v>18</v>
      </c>
      <c r="Q1668" s="2" t="s">
        <v>46</v>
      </c>
      <c r="R1668" s="2" t="s">
        <v>47</v>
      </c>
      <c r="S1668" s="2">
        <v>0</v>
      </c>
      <c r="T1668" s="2">
        <v>0</v>
      </c>
      <c r="U1668" s="2">
        <v>0</v>
      </c>
      <c r="V1668" s="2">
        <v>0</v>
      </c>
      <c r="W1668" s="2">
        <v>3</v>
      </c>
      <c r="X1668" s="2" t="s">
        <v>7615</v>
      </c>
      <c r="Y1668" s="2">
        <v>1</v>
      </c>
      <c r="Z1668" s="2">
        <v>2</v>
      </c>
      <c r="AA1668" s="2">
        <v>3</v>
      </c>
      <c r="AB1668" s="2">
        <v>2</v>
      </c>
      <c r="AC1668" s="2">
        <v>1</v>
      </c>
      <c r="AD1668" s="2">
        <v>2</v>
      </c>
      <c r="AE1668" s="2" t="s">
        <v>0</v>
      </c>
      <c r="AF1668" s="2">
        <v>1</v>
      </c>
      <c r="AG1668" s="2" t="s">
        <v>547</v>
      </c>
    </row>
    <row r="1669" spans="1:33" ht="51" x14ac:dyDescent="0.2">
      <c r="A1669" s="5" t="str">
        <f>HYPERLINK("http://www.patentics.cn/invokexml.do?sf=ShowPatent&amp;spn=WO2014032034&amp;sv=56c97f84b6e9b272f67b8b07add09b12","WO2014032034")</f>
        <v>WO2014032034</v>
      </c>
      <c r="B1669" s="3" t="s">
        <v>7616</v>
      </c>
      <c r="C1669" s="3" t="s">
        <v>7617</v>
      </c>
      <c r="D1669" s="3" t="s">
        <v>52</v>
      </c>
      <c r="E1669" s="3" t="s">
        <v>52</v>
      </c>
      <c r="F1669" s="3" t="s">
        <v>7618</v>
      </c>
      <c r="G1669" s="3" t="s">
        <v>7619</v>
      </c>
      <c r="H1669" s="3" t="s">
        <v>4442</v>
      </c>
      <c r="I1669" s="3" t="s">
        <v>2305</v>
      </c>
      <c r="J1669" s="3" t="s">
        <v>7620</v>
      </c>
      <c r="K1669" s="3" t="s">
        <v>82</v>
      </c>
      <c r="L1669" s="3" t="s">
        <v>6641</v>
      </c>
      <c r="M1669" s="3" t="s">
        <v>0</v>
      </c>
      <c r="N1669" s="3" t="s">
        <v>0</v>
      </c>
      <c r="O1669" s="3">
        <v>17</v>
      </c>
      <c r="P1669" s="3">
        <v>11</v>
      </c>
      <c r="Q1669" s="3" t="s">
        <v>352</v>
      </c>
      <c r="R1669" s="3" t="s">
        <v>61</v>
      </c>
      <c r="S1669" s="3">
        <v>5</v>
      </c>
      <c r="T1669" s="3">
        <v>0</v>
      </c>
      <c r="U1669" s="3">
        <v>5</v>
      </c>
      <c r="V1669" s="3">
        <v>3</v>
      </c>
      <c r="W1669" s="3">
        <v>0</v>
      </c>
      <c r="X1669" s="3" t="s">
        <v>147</v>
      </c>
      <c r="Y1669" s="3">
        <v>0</v>
      </c>
      <c r="Z1669" s="3">
        <v>0</v>
      </c>
      <c r="AA1669" s="3">
        <v>0</v>
      </c>
      <c r="AB1669" s="3">
        <v>0</v>
      </c>
      <c r="AC1669" s="3">
        <v>4</v>
      </c>
      <c r="AD1669" s="3">
        <v>5</v>
      </c>
      <c r="AE1669" s="3">
        <v>14</v>
      </c>
      <c r="AF1669" s="3" t="s">
        <v>0</v>
      </c>
      <c r="AG1669" s="3" t="s">
        <v>0</v>
      </c>
    </row>
    <row r="1670" spans="1:33" ht="38.25" x14ac:dyDescent="0.2">
      <c r="A1670" s="4" t="str">
        <f>HYPERLINK("http://www.patentics.cn/invokexml.do?sf=ShowPatent&amp;spn=CN101790190&amp;sv=8f3cdec27e8bcd39efea32a20a4faad3","CN101790190")</f>
        <v>CN101790190</v>
      </c>
      <c r="B1670" s="2" t="s">
        <v>7621</v>
      </c>
      <c r="C1670" s="2" t="s">
        <v>7622</v>
      </c>
      <c r="D1670" s="2" t="s">
        <v>38</v>
      </c>
      <c r="E1670" s="2" t="s">
        <v>38</v>
      </c>
      <c r="F1670" s="2" t="s">
        <v>7623</v>
      </c>
      <c r="G1670" s="2" t="s">
        <v>2814</v>
      </c>
      <c r="H1670" s="2" t="s">
        <v>3174</v>
      </c>
      <c r="I1670" s="2" t="s">
        <v>3174</v>
      </c>
      <c r="J1670" s="2" t="s">
        <v>4722</v>
      </c>
      <c r="K1670" s="2" t="s">
        <v>82</v>
      </c>
      <c r="L1670" s="2" t="s">
        <v>2215</v>
      </c>
      <c r="M1670" s="2" t="s">
        <v>0</v>
      </c>
      <c r="N1670" s="2" t="s">
        <v>0</v>
      </c>
      <c r="O1670" s="2">
        <v>26</v>
      </c>
      <c r="P1670" s="2">
        <v>12</v>
      </c>
      <c r="Q1670" s="2" t="s">
        <v>46</v>
      </c>
      <c r="R1670" s="2" t="s">
        <v>47</v>
      </c>
      <c r="S1670" s="2">
        <v>0</v>
      </c>
      <c r="T1670" s="2">
        <v>0</v>
      </c>
      <c r="U1670" s="2">
        <v>0</v>
      </c>
      <c r="V1670" s="2">
        <v>0</v>
      </c>
      <c r="W1670" s="2">
        <v>16</v>
      </c>
      <c r="X1670" s="2" t="s">
        <v>7624</v>
      </c>
      <c r="Y1670" s="2">
        <v>4</v>
      </c>
      <c r="Z1670" s="2">
        <v>12</v>
      </c>
      <c r="AA1670" s="2">
        <v>5</v>
      </c>
      <c r="AB1670" s="2">
        <v>4</v>
      </c>
      <c r="AC1670" s="2">
        <v>12</v>
      </c>
      <c r="AD1670" s="2">
        <v>8</v>
      </c>
      <c r="AE1670" s="2" t="s">
        <v>0</v>
      </c>
      <c r="AF1670" s="2">
        <v>1</v>
      </c>
      <c r="AG1670" s="2" t="s">
        <v>49</v>
      </c>
    </row>
    <row r="1671" spans="1:33" ht="102" x14ac:dyDescent="0.2">
      <c r="A1671" s="5" t="str">
        <f>HYPERLINK("http://www.patentics.cn/invokexml.do?sf=ShowPatent&amp;spn=CN103119884B&amp;sv=96b7b6818020c5a8345ea42013c972fd","CN103119884B")</f>
        <v>CN103119884B</v>
      </c>
      <c r="B1671" s="3" t="s">
        <v>7625</v>
      </c>
      <c r="C1671" s="3" t="s">
        <v>7626</v>
      </c>
      <c r="D1671" s="3" t="s">
        <v>338</v>
      </c>
      <c r="E1671" s="3" t="s">
        <v>338</v>
      </c>
      <c r="F1671" s="3" t="s">
        <v>7627</v>
      </c>
      <c r="G1671" s="3" t="s">
        <v>1190</v>
      </c>
      <c r="H1671" s="3" t="s">
        <v>3181</v>
      </c>
      <c r="I1671" s="3" t="s">
        <v>5231</v>
      </c>
      <c r="J1671" s="3" t="s">
        <v>7628</v>
      </c>
      <c r="K1671" s="3" t="s">
        <v>58</v>
      </c>
      <c r="L1671" s="3" t="s">
        <v>1980</v>
      </c>
      <c r="M1671" s="3" t="s">
        <v>0</v>
      </c>
      <c r="N1671" s="3" t="s">
        <v>0</v>
      </c>
      <c r="O1671" s="3">
        <v>51</v>
      </c>
      <c r="P1671" s="3">
        <v>25</v>
      </c>
      <c r="Q1671" s="3" t="s">
        <v>60</v>
      </c>
      <c r="R1671" s="3" t="s">
        <v>61</v>
      </c>
      <c r="S1671" s="3">
        <v>3</v>
      </c>
      <c r="T1671" s="3">
        <v>0</v>
      </c>
      <c r="U1671" s="3">
        <v>3</v>
      </c>
      <c r="V1671" s="3">
        <v>2</v>
      </c>
      <c r="W1671" s="3">
        <v>8</v>
      </c>
      <c r="X1671" s="3" t="s">
        <v>147</v>
      </c>
      <c r="Y1671" s="3">
        <v>0</v>
      </c>
      <c r="Z1671" s="3">
        <v>8</v>
      </c>
      <c r="AA1671" s="3">
        <v>0</v>
      </c>
      <c r="AB1671" s="3">
        <v>1</v>
      </c>
      <c r="AC1671" s="3">
        <v>22</v>
      </c>
      <c r="AD1671" s="3">
        <v>7</v>
      </c>
      <c r="AE1671" s="3">
        <v>14</v>
      </c>
      <c r="AF1671" s="3" t="s">
        <v>0</v>
      </c>
      <c r="AG1671" s="3" t="s">
        <v>49</v>
      </c>
    </row>
    <row r="1672" spans="1:33" ht="38.25" x14ac:dyDescent="0.2">
      <c r="A1672" s="4" t="str">
        <f>HYPERLINK("http://www.patentics.cn/invokexml.do?sf=ShowPatent&amp;spn=CN101771510&amp;sv=27421f312f062eb5301c2216428c3bbc","CN101771510")</f>
        <v>CN101771510</v>
      </c>
      <c r="B1672" s="2" t="s">
        <v>7629</v>
      </c>
      <c r="C1672" s="2" t="s">
        <v>7630</v>
      </c>
      <c r="D1672" s="2" t="s">
        <v>38</v>
      </c>
      <c r="E1672" s="2" t="s">
        <v>38</v>
      </c>
      <c r="F1672" s="2" t="s">
        <v>7631</v>
      </c>
      <c r="G1672" s="2" t="s">
        <v>5043</v>
      </c>
      <c r="H1672" s="2" t="s">
        <v>1904</v>
      </c>
      <c r="I1672" s="2" t="s">
        <v>1904</v>
      </c>
      <c r="J1672" s="2" t="s">
        <v>5153</v>
      </c>
      <c r="K1672" s="2" t="s">
        <v>58</v>
      </c>
      <c r="L1672" s="2" t="s">
        <v>249</v>
      </c>
      <c r="M1672" s="2" t="s">
        <v>0</v>
      </c>
      <c r="N1672" s="2" t="s">
        <v>0</v>
      </c>
      <c r="O1672" s="2">
        <v>12</v>
      </c>
      <c r="P1672" s="2">
        <v>14</v>
      </c>
      <c r="Q1672" s="2" t="s">
        <v>46</v>
      </c>
      <c r="R1672" s="2" t="s">
        <v>47</v>
      </c>
      <c r="S1672" s="2">
        <v>0</v>
      </c>
      <c r="T1672" s="2">
        <v>0</v>
      </c>
      <c r="U1672" s="2">
        <v>0</v>
      </c>
      <c r="V1672" s="2">
        <v>0</v>
      </c>
      <c r="W1672" s="2">
        <v>4</v>
      </c>
      <c r="X1672" s="2" t="s">
        <v>48</v>
      </c>
      <c r="Y1672" s="2">
        <v>2</v>
      </c>
      <c r="Z1672" s="2">
        <v>2</v>
      </c>
      <c r="AA1672" s="2">
        <v>3</v>
      </c>
      <c r="AB1672" s="2">
        <v>3</v>
      </c>
      <c r="AC1672" s="2">
        <v>4</v>
      </c>
      <c r="AD1672" s="2">
        <v>4</v>
      </c>
      <c r="AE1672" s="2" t="s">
        <v>0</v>
      </c>
      <c r="AF1672" s="2">
        <v>1</v>
      </c>
      <c r="AG1672" s="2" t="s">
        <v>49</v>
      </c>
    </row>
    <row r="1673" spans="1:33" ht="51" x14ac:dyDescent="0.2">
      <c r="A1673" s="5" t="str">
        <f>HYPERLINK("http://www.patentics.cn/invokexml.do?sf=ShowPatent&amp;spn=US9203552&amp;sv=3d109407f7250a5c3d20216e3c21fe86","US9203552")</f>
        <v>US9203552</v>
      </c>
      <c r="B1673" s="3" t="s">
        <v>7632</v>
      </c>
      <c r="C1673" s="3" t="s">
        <v>7633</v>
      </c>
      <c r="D1673" s="3" t="s">
        <v>52</v>
      </c>
      <c r="E1673" s="3" t="s">
        <v>52</v>
      </c>
      <c r="F1673" s="3" t="s">
        <v>7634</v>
      </c>
      <c r="G1673" s="3" t="s">
        <v>2822</v>
      </c>
      <c r="H1673" s="3" t="s">
        <v>1183</v>
      </c>
      <c r="I1673" s="3" t="s">
        <v>4622</v>
      </c>
      <c r="J1673" s="3" t="s">
        <v>1362</v>
      </c>
      <c r="K1673" s="3" t="s">
        <v>84</v>
      </c>
      <c r="L1673" s="3" t="s">
        <v>343</v>
      </c>
      <c r="M1673" s="3" t="s">
        <v>58</v>
      </c>
      <c r="N1673" s="3" t="s">
        <v>1907</v>
      </c>
      <c r="O1673" s="3">
        <v>0</v>
      </c>
      <c r="P1673" s="3">
        <v>15</v>
      </c>
      <c r="Q1673" s="3" t="s">
        <v>60</v>
      </c>
      <c r="R1673" s="3" t="s">
        <v>61</v>
      </c>
      <c r="S1673" s="3">
        <v>19</v>
      </c>
      <c r="T1673" s="3">
        <v>0</v>
      </c>
      <c r="U1673" s="3">
        <v>19</v>
      </c>
      <c r="V1673" s="3">
        <v>8</v>
      </c>
      <c r="W1673" s="3">
        <v>0</v>
      </c>
      <c r="X1673" s="3" t="s">
        <v>147</v>
      </c>
      <c r="Y1673" s="3">
        <v>0</v>
      </c>
      <c r="Z1673" s="3">
        <v>0</v>
      </c>
      <c r="AA1673" s="3">
        <v>0</v>
      </c>
      <c r="AB1673" s="3">
        <v>0</v>
      </c>
      <c r="AC1673" s="3">
        <v>7</v>
      </c>
      <c r="AD1673" s="3">
        <v>6</v>
      </c>
      <c r="AE1673" s="3">
        <v>14</v>
      </c>
      <c r="AF1673" s="3" t="s">
        <v>0</v>
      </c>
      <c r="AG1673" s="3" t="s">
        <v>49</v>
      </c>
    </row>
    <row r="1674" spans="1:33" x14ac:dyDescent="0.2">
      <c r="A1674" s="4" t="str">
        <f>HYPERLINK("http://www.patentics.cn/invokexml.do?sf=ShowPatent&amp;spn=CN101754267&amp;sv=f0189de6f8f8238a02272c0ea5a788e6","CN101754267")</f>
        <v>CN101754267</v>
      </c>
      <c r="B1674" s="2" t="s">
        <v>7635</v>
      </c>
      <c r="C1674" s="2" t="s">
        <v>7636</v>
      </c>
      <c r="D1674" s="2" t="s">
        <v>38</v>
      </c>
      <c r="E1674" s="2" t="s">
        <v>38</v>
      </c>
      <c r="F1674" s="2" t="s">
        <v>7637</v>
      </c>
      <c r="G1674" s="2" t="s">
        <v>7637</v>
      </c>
      <c r="H1674" s="2" t="s">
        <v>5478</v>
      </c>
      <c r="I1674" s="2" t="s">
        <v>5478</v>
      </c>
      <c r="J1674" s="2" t="s">
        <v>1934</v>
      </c>
      <c r="K1674" s="2" t="s">
        <v>82</v>
      </c>
      <c r="L1674" s="2" t="s">
        <v>3795</v>
      </c>
      <c r="M1674" s="2" t="s">
        <v>0</v>
      </c>
      <c r="N1674" s="2" t="s">
        <v>0</v>
      </c>
      <c r="O1674" s="2">
        <v>12</v>
      </c>
      <c r="P1674" s="2">
        <v>20</v>
      </c>
      <c r="Q1674" s="2" t="s">
        <v>46</v>
      </c>
      <c r="R1674" s="2" t="s">
        <v>47</v>
      </c>
      <c r="S1674" s="2">
        <v>0</v>
      </c>
      <c r="T1674" s="2">
        <v>0</v>
      </c>
      <c r="U1674" s="2">
        <v>0</v>
      </c>
      <c r="V1674" s="2">
        <v>0</v>
      </c>
      <c r="W1674" s="2">
        <v>3</v>
      </c>
      <c r="X1674" s="2" t="s">
        <v>409</v>
      </c>
      <c r="Y1674" s="2">
        <v>0</v>
      </c>
      <c r="Z1674" s="2">
        <v>3</v>
      </c>
      <c r="AA1674" s="2">
        <v>3</v>
      </c>
      <c r="AB1674" s="2">
        <v>2</v>
      </c>
      <c r="AC1674" s="2">
        <v>1</v>
      </c>
      <c r="AD1674" s="2">
        <v>1</v>
      </c>
      <c r="AE1674" s="2" t="s">
        <v>0</v>
      </c>
      <c r="AF1674" s="2">
        <v>1</v>
      </c>
      <c r="AG1674" s="2" t="s">
        <v>49</v>
      </c>
    </row>
    <row r="1675" spans="1:33" ht="76.5" x14ac:dyDescent="0.2">
      <c r="A1675" s="5" t="str">
        <f>HYPERLINK("http://www.patentics.cn/invokexml.do?sf=ShowPatent&amp;spn=WO2012071724&amp;sv=cad815c442117d0c5410fa997a250404","WO2012071724")</f>
        <v>WO2012071724</v>
      </c>
      <c r="B1675" s="3" t="s">
        <v>7638</v>
      </c>
      <c r="C1675" s="3" t="s">
        <v>7639</v>
      </c>
      <c r="D1675" s="3" t="s">
        <v>7640</v>
      </c>
      <c r="E1675" s="3" t="s">
        <v>7641</v>
      </c>
      <c r="F1675" s="3" t="s">
        <v>7642</v>
      </c>
      <c r="G1675" s="3" t="s">
        <v>7643</v>
      </c>
      <c r="H1675" s="3" t="s">
        <v>0</v>
      </c>
      <c r="I1675" s="3" t="s">
        <v>2914</v>
      </c>
      <c r="J1675" s="3" t="s">
        <v>2915</v>
      </c>
      <c r="K1675" s="3" t="s">
        <v>82</v>
      </c>
      <c r="L1675" s="3" t="s">
        <v>2215</v>
      </c>
      <c r="M1675" s="3" t="s">
        <v>0</v>
      </c>
      <c r="N1675" s="3" t="s">
        <v>0</v>
      </c>
      <c r="O1675" s="3">
        <v>28</v>
      </c>
      <c r="P1675" s="3">
        <v>9</v>
      </c>
      <c r="Q1675" s="3" t="s">
        <v>352</v>
      </c>
      <c r="R1675" s="3" t="s">
        <v>1387</v>
      </c>
      <c r="S1675" s="3">
        <v>4</v>
      </c>
      <c r="T1675" s="3">
        <v>0</v>
      </c>
      <c r="U1675" s="3">
        <v>4</v>
      </c>
      <c r="V1675" s="3">
        <v>4</v>
      </c>
      <c r="W1675" s="3">
        <v>3</v>
      </c>
      <c r="X1675" s="3" t="s">
        <v>7116</v>
      </c>
      <c r="Y1675" s="3">
        <v>1</v>
      </c>
      <c r="Z1675" s="3">
        <v>2</v>
      </c>
      <c r="AA1675" s="3">
        <v>2</v>
      </c>
      <c r="AB1675" s="3">
        <v>2</v>
      </c>
      <c r="AC1675" s="3">
        <v>0</v>
      </c>
      <c r="AD1675" s="3">
        <v>0</v>
      </c>
      <c r="AE1675" s="3">
        <v>14</v>
      </c>
      <c r="AF1675" s="3" t="s">
        <v>0</v>
      </c>
      <c r="AG1675" s="3" t="s">
        <v>0</v>
      </c>
    </row>
    <row r="1676" spans="1:33" ht="38.25" x14ac:dyDescent="0.2">
      <c r="A1676" s="4" t="str">
        <f>HYPERLINK("http://www.patentics.cn/invokexml.do?sf=ShowPatent&amp;spn=CN101741462&amp;sv=1fa117c4ec23fdd549fd50f5954a15d1","CN101741462")</f>
        <v>CN101741462</v>
      </c>
      <c r="B1676" s="2" t="s">
        <v>7644</v>
      </c>
      <c r="C1676" s="2" t="s">
        <v>7645</v>
      </c>
      <c r="D1676" s="2" t="s">
        <v>38</v>
      </c>
      <c r="E1676" s="2" t="s">
        <v>38</v>
      </c>
      <c r="F1676" s="2" t="s">
        <v>5152</v>
      </c>
      <c r="G1676" s="2" t="s">
        <v>2814</v>
      </c>
      <c r="H1676" s="2" t="s">
        <v>7646</v>
      </c>
      <c r="I1676" s="2" t="s">
        <v>7646</v>
      </c>
      <c r="J1676" s="2" t="s">
        <v>1308</v>
      </c>
      <c r="K1676" s="2" t="s">
        <v>84</v>
      </c>
      <c r="L1676" s="2" t="s">
        <v>1922</v>
      </c>
      <c r="M1676" s="2" t="s">
        <v>0</v>
      </c>
      <c r="N1676" s="2" t="s">
        <v>0</v>
      </c>
      <c r="O1676" s="2">
        <v>28</v>
      </c>
      <c r="P1676" s="2">
        <v>13</v>
      </c>
      <c r="Q1676" s="2" t="s">
        <v>46</v>
      </c>
      <c r="R1676" s="2" t="s">
        <v>47</v>
      </c>
      <c r="S1676" s="2">
        <v>0</v>
      </c>
      <c r="T1676" s="2">
        <v>0</v>
      </c>
      <c r="U1676" s="2">
        <v>0</v>
      </c>
      <c r="V1676" s="2">
        <v>0</v>
      </c>
      <c r="W1676" s="2">
        <v>13</v>
      </c>
      <c r="X1676" s="2" t="s">
        <v>7647</v>
      </c>
      <c r="Y1676" s="2">
        <v>4</v>
      </c>
      <c r="Z1676" s="2">
        <v>9</v>
      </c>
      <c r="AA1676" s="2">
        <v>6</v>
      </c>
      <c r="AB1676" s="2">
        <v>4</v>
      </c>
      <c r="AC1676" s="2">
        <v>2</v>
      </c>
      <c r="AD1676" s="2">
        <v>2</v>
      </c>
      <c r="AE1676" s="2" t="s">
        <v>0</v>
      </c>
      <c r="AF1676" s="2">
        <v>1</v>
      </c>
      <c r="AG1676" s="2" t="s">
        <v>49</v>
      </c>
    </row>
    <row r="1677" spans="1:33" ht="38.25" x14ac:dyDescent="0.2">
      <c r="A1677" s="5" t="str">
        <f>HYPERLINK("http://www.patentics.cn/invokexml.do?sf=ShowPatent&amp;spn=CN102972075B&amp;sv=b644dc0caf4d2ef9b3275850950cc468","CN102972075B")</f>
        <v>CN102972075B</v>
      </c>
      <c r="B1677" s="3" t="s">
        <v>7648</v>
      </c>
      <c r="C1677" s="3" t="s">
        <v>7649</v>
      </c>
      <c r="D1677" s="3" t="s">
        <v>338</v>
      </c>
      <c r="E1677" s="3" t="s">
        <v>338</v>
      </c>
      <c r="F1677" s="3" t="s">
        <v>7650</v>
      </c>
      <c r="G1677" s="3" t="s">
        <v>3811</v>
      </c>
      <c r="H1677" s="3" t="s">
        <v>725</v>
      </c>
      <c r="I1677" s="3" t="s">
        <v>2213</v>
      </c>
      <c r="J1677" s="3" t="s">
        <v>7651</v>
      </c>
      <c r="K1677" s="3" t="s">
        <v>82</v>
      </c>
      <c r="L1677" s="3" t="s">
        <v>244</v>
      </c>
      <c r="M1677" s="3" t="s">
        <v>0</v>
      </c>
      <c r="N1677" s="3" t="s">
        <v>0</v>
      </c>
      <c r="O1677" s="3">
        <v>41</v>
      </c>
      <c r="P1677" s="3">
        <v>19</v>
      </c>
      <c r="Q1677" s="3" t="s">
        <v>60</v>
      </c>
      <c r="R1677" s="3" t="s">
        <v>61</v>
      </c>
      <c r="S1677" s="3">
        <v>1</v>
      </c>
      <c r="T1677" s="3">
        <v>0</v>
      </c>
      <c r="U1677" s="3">
        <v>1</v>
      </c>
      <c r="V1677" s="3">
        <v>1</v>
      </c>
      <c r="W1677" s="3">
        <v>0</v>
      </c>
      <c r="X1677" s="3" t="s">
        <v>147</v>
      </c>
      <c r="Y1677" s="3">
        <v>0</v>
      </c>
      <c r="Z1677" s="3">
        <v>0</v>
      </c>
      <c r="AA1677" s="3">
        <v>0</v>
      </c>
      <c r="AB1677" s="3">
        <v>0</v>
      </c>
      <c r="AC1677" s="3">
        <v>14</v>
      </c>
      <c r="AD1677" s="3">
        <v>8</v>
      </c>
      <c r="AE1677" s="3">
        <v>14</v>
      </c>
      <c r="AF1677" s="3" t="s">
        <v>0</v>
      </c>
      <c r="AG1677" s="3" t="s">
        <v>49</v>
      </c>
    </row>
    <row r="1678" spans="1:33" ht="25.5" x14ac:dyDescent="0.2">
      <c r="A1678" s="4" t="str">
        <f>HYPERLINK("http://www.patentics.cn/invokexml.do?sf=ShowPatent&amp;spn=CN101741693&amp;sv=79302a9eb22eb79c471f8e81e70c44e2","CN101741693")</f>
        <v>CN101741693</v>
      </c>
      <c r="B1678" s="2" t="s">
        <v>7652</v>
      </c>
      <c r="C1678" s="2" t="s">
        <v>7653</v>
      </c>
      <c r="D1678" s="2" t="s">
        <v>38</v>
      </c>
      <c r="E1678" s="2" t="s">
        <v>38</v>
      </c>
      <c r="F1678" s="2" t="s">
        <v>7654</v>
      </c>
      <c r="G1678" s="2" t="s">
        <v>7655</v>
      </c>
      <c r="H1678" s="2" t="s">
        <v>2528</v>
      </c>
      <c r="I1678" s="2" t="s">
        <v>2528</v>
      </c>
      <c r="J1678" s="2" t="s">
        <v>1308</v>
      </c>
      <c r="K1678" s="2" t="s">
        <v>58</v>
      </c>
      <c r="L1678" s="2" t="s">
        <v>1236</v>
      </c>
      <c r="M1678" s="2" t="s">
        <v>0</v>
      </c>
      <c r="N1678" s="2" t="s">
        <v>0</v>
      </c>
      <c r="O1678" s="2">
        <v>10</v>
      </c>
      <c r="P1678" s="2">
        <v>38</v>
      </c>
      <c r="Q1678" s="2" t="s">
        <v>46</v>
      </c>
      <c r="R1678" s="2" t="s">
        <v>47</v>
      </c>
      <c r="S1678" s="2">
        <v>0</v>
      </c>
      <c r="T1678" s="2">
        <v>0</v>
      </c>
      <c r="U1678" s="2">
        <v>0</v>
      </c>
      <c r="V1678" s="2">
        <v>0</v>
      </c>
      <c r="W1678" s="2">
        <v>2</v>
      </c>
      <c r="X1678" s="2" t="s">
        <v>472</v>
      </c>
      <c r="Y1678" s="2">
        <v>1</v>
      </c>
      <c r="Z1678" s="2">
        <v>1</v>
      </c>
      <c r="AA1678" s="2">
        <v>2</v>
      </c>
      <c r="AB1678" s="2">
        <v>2</v>
      </c>
      <c r="AC1678" s="2">
        <v>1</v>
      </c>
      <c r="AD1678" s="2">
        <v>1</v>
      </c>
      <c r="AE1678" s="2" t="s">
        <v>0</v>
      </c>
      <c r="AF1678" s="2">
        <v>1</v>
      </c>
      <c r="AG1678" s="2" t="s">
        <v>49</v>
      </c>
    </row>
    <row r="1679" spans="1:33" ht="114.75" x14ac:dyDescent="0.2">
      <c r="A1679" s="5" t="str">
        <f>HYPERLINK("http://www.patentics.cn/invokexml.do?sf=ShowPatent&amp;spn=US9130708&amp;sv=5c65efbef820283632334b34857dcb2a","US9130708")</f>
        <v>US9130708</v>
      </c>
      <c r="B1679" s="3" t="s">
        <v>7656</v>
      </c>
      <c r="C1679" s="3" t="s">
        <v>7657</v>
      </c>
      <c r="D1679" s="3" t="s">
        <v>52</v>
      </c>
      <c r="E1679" s="3" t="s">
        <v>52</v>
      </c>
      <c r="F1679" s="3" t="s">
        <v>7658</v>
      </c>
      <c r="G1679" s="3" t="s">
        <v>924</v>
      </c>
      <c r="H1679" s="3" t="s">
        <v>2423</v>
      </c>
      <c r="I1679" s="3" t="s">
        <v>2424</v>
      </c>
      <c r="J1679" s="3" t="s">
        <v>219</v>
      </c>
      <c r="K1679" s="3" t="s">
        <v>82</v>
      </c>
      <c r="L1679" s="3" t="s">
        <v>244</v>
      </c>
      <c r="M1679" s="3" t="s">
        <v>0</v>
      </c>
      <c r="N1679" s="3" t="s">
        <v>0</v>
      </c>
      <c r="O1679" s="3">
        <v>0</v>
      </c>
      <c r="P1679" s="3">
        <v>8</v>
      </c>
      <c r="Q1679" s="3" t="s">
        <v>60</v>
      </c>
      <c r="R1679" s="3" t="s">
        <v>61</v>
      </c>
      <c r="S1679" s="3">
        <v>12</v>
      </c>
      <c r="T1679" s="3">
        <v>0</v>
      </c>
      <c r="U1679" s="3">
        <v>12</v>
      </c>
      <c r="V1679" s="3">
        <v>7</v>
      </c>
      <c r="W1679" s="3">
        <v>0</v>
      </c>
      <c r="X1679" s="3" t="s">
        <v>147</v>
      </c>
      <c r="Y1679" s="3">
        <v>0</v>
      </c>
      <c r="Z1679" s="3">
        <v>0</v>
      </c>
      <c r="AA1679" s="3">
        <v>0</v>
      </c>
      <c r="AB1679" s="3">
        <v>0</v>
      </c>
      <c r="AC1679" s="3">
        <v>9</v>
      </c>
      <c r="AD1679" s="3">
        <v>6</v>
      </c>
      <c r="AE1679" s="3">
        <v>14</v>
      </c>
      <c r="AF1679" s="3" t="s">
        <v>0</v>
      </c>
      <c r="AG1679" s="3" t="s">
        <v>49</v>
      </c>
    </row>
    <row r="1680" spans="1:33" ht="38.25" x14ac:dyDescent="0.2">
      <c r="A1680" s="4" t="str">
        <f>HYPERLINK("http://www.patentics.cn/invokexml.do?sf=ShowPatent&amp;spn=CN101720122&amp;sv=2d87d2a9fc36293f155757857e24c398","CN101720122")</f>
        <v>CN101720122</v>
      </c>
      <c r="B1680" s="2" t="s">
        <v>7659</v>
      </c>
      <c r="C1680" s="2" t="s">
        <v>7660</v>
      </c>
      <c r="D1680" s="2" t="s">
        <v>38</v>
      </c>
      <c r="E1680" s="2" t="s">
        <v>38</v>
      </c>
      <c r="F1680" s="2" t="s">
        <v>7661</v>
      </c>
      <c r="G1680" s="2" t="s">
        <v>7526</v>
      </c>
      <c r="H1680" s="2" t="s">
        <v>7662</v>
      </c>
      <c r="I1680" s="2" t="s">
        <v>7662</v>
      </c>
      <c r="J1680" s="2" t="s">
        <v>926</v>
      </c>
      <c r="K1680" s="2" t="s">
        <v>82</v>
      </c>
      <c r="L1680" s="2" t="s">
        <v>831</v>
      </c>
      <c r="M1680" s="2" t="s">
        <v>0</v>
      </c>
      <c r="N1680" s="2" t="s">
        <v>0</v>
      </c>
      <c r="O1680" s="2">
        <v>20</v>
      </c>
      <c r="P1680" s="2">
        <v>12</v>
      </c>
      <c r="Q1680" s="2" t="s">
        <v>46</v>
      </c>
      <c r="R1680" s="2" t="s">
        <v>47</v>
      </c>
      <c r="S1680" s="2">
        <v>0</v>
      </c>
      <c r="T1680" s="2">
        <v>0</v>
      </c>
      <c r="U1680" s="2">
        <v>0</v>
      </c>
      <c r="V1680" s="2">
        <v>0</v>
      </c>
      <c r="W1680" s="2">
        <v>28</v>
      </c>
      <c r="X1680" s="2" t="s">
        <v>7663</v>
      </c>
      <c r="Y1680" s="2">
        <v>11</v>
      </c>
      <c r="Z1680" s="2">
        <v>17</v>
      </c>
      <c r="AA1680" s="2">
        <v>8</v>
      </c>
      <c r="AB1680" s="2">
        <v>4</v>
      </c>
      <c r="AC1680" s="2">
        <v>5</v>
      </c>
      <c r="AD1680" s="2">
        <v>4</v>
      </c>
      <c r="AE1680" s="2" t="s">
        <v>0</v>
      </c>
      <c r="AF1680" s="2">
        <v>1</v>
      </c>
      <c r="AG1680" s="2" t="s">
        <v>49</v>
      </c>
    </row>
    <row r="1681" spans="1:33" ht="102" x14ac:dyDescent="0.2">
      <c r="A1681" s="5" t="str">
        <f>HYPERLINK("http://www.patentics.cn/invokexml.do?sf=ShowPatent&amp;spn=WO2013127057&amp;sv=6c06acc24ee66130e09f357f6cc4ffd6","WO2013127057")</f>
        <v>WO2013127057</v>
      </c>
      <c r="B1681" s="3" t="s">
        <v>7664</v>
      </c>
      <c r="C1681" s="3" t="s">
        <v>7665</v>
      </c>
      <c r="D1681" s="3" t="s">
        <v>7666</v>
      </c>
      <c r="E1681" s="3" t="s">
        <v>7667</v>
      </c>
      <c r="F1681" s="3" t="s">
        <v>7668</v>
      </c>
      <c r="G1681" s="3" t="s">
        <v>4755</v>
      </c>
      <c r="H1681" s="3" t="s">
        <v>7669</v>
      </c>
      <c r="I1681" s="3" t="s">
        <v>7669</v>
      </c>
      <c r="J1681" s="3" t="s">
        <v>738</v>
      </c>
      <c r="K1681" s="3" t="s">
        <v>82</v>
      </c>
      <c r="L1681" s="3" t="s">
        <v>244</v>
      </c>
      <c r="M1681" s="3" t="s">
        <v>0</v>
      </c>
      <c r="N1681" s="3" t="s">
        <v>0</v>
      </c>
      <c r="O1681" s="3">
        <v>3</v>
      </c>
      <c r="P1681" s="3">
        <v>25</v>
      </c>
      <c r="Q1681" s="3" t="s">
        <v>352</v>
      </c>
      <c r="R1681" s="3" t="s">
        <v>47</v>
      </c>
      <c r="S1681" s="3">
        <v>3</v>
      </c>
      <c r="T1681" s="3">
        <v>0</v>
      </c>
      <c r="U1681" s="3">
        <v>3</v>
      </c>
      <c r="V1681" s="3">
        <v>2</v>
      </c>
      <c r="W1681" s="3">
        <v>0</v>
      </c>
      <c r="X1681" s="3" t="s">
        <v>147</v>
      </c>
      <c r="Y1681" s="3">
        <v>0</v>
      </c>
      <c r="Z1681" s="3">
        <v>0</v>
      </c>
      <c r="AA1681" s="3">
        <v>0</v>
      </c>
      <c r="AB1681" s="3">
        <v>0</v>
      </c>
      <c r="AC1681" s="3">
        <v>8</v>
      </c>
      <c r="AD1681" s="3">
        <v>6</v>
      </c>
      <c r="AE1681" s="3">
        <v>14</v>
      </c>
      <c r="AF1681" s="3" t="s">
        <v>0</v>
      </c>
      <c r="AG1681" s="3" t="s">
        <v>0</v>
      </c>
    </row>
    <row r="1682" spans="1:33" ht="38.25" x14ac:dyDescent="0.2">
      <c r="A1682" s="4" t="str">
        <f>HYPERLINK("http://www.patentics.cn/invokexml.do?sf=ShowPatent&amp;spn=CN101714892&amp;sv=4eb4adfa4733c68d5a08bd5e2c038963","CN101714892")</f>
        <v>CN101714892</v>
      </c>
      <c r="B1682" s="2" t="s">
        <v>7670</v>
      </c>
      <c r="C1682" s="2" t="s">
        <v>7671</v>
      </c>
      <c r="D1682" s="2" t="s">
        <v>38</v>
      </c>
      <c r="E1682" s="2" t="s">
        <v>38</v>
      </c>
      <c r="F1682" s="2" t="s">
        <v>7672</v>
      </c>
      <c r="G1682" s="2" t="s">
        <v>2814</v>
      </c>
      <c r="H1682" s="2" t="s">
        <v>4312</v>
      </c>
      <c r="I1682" s="2" t="s">
        <v>4312</v>
      </c>
      <c r="J1682" s="2" t="s">
        <v>7673</v>
      </c>
      <c r="K1682" s="2" t="s">
        <v>84</v>
      </c>
      <c r="L1682" s="2" t="s">
        <v>1922</v>
      </c>
      <c r="M1682" s="2" t="s">
        <v>0</v>
      </c>
      <c r="N1682" s="2" t="s">
        <v>0</v>
      </c>
      <c r="O1682" s="2">
        <v>21</v>
      </c>
      <c r="P1682" s="2">
        <v>14</v>
      </c>
      <c r="Q1682" s="2" t="s">
        <v>46</v>
      </c>
      <c r="R1682" s="2" t="s">
        <v>47</v>
      </c>
      <c r="S1682" s="2">
        <v>0</v>
      </c>
      <c r="T1682" s="2">
        <v>0</v>
      </c>
      <c r="U1682" s="2">
        <v>0</v>
      </c>
      <c r="V1682" s="2">
        <v>0</v>
      </c>
      <c r="W1682" s="2">
        <v>38</v>
      </c>
      <c r="X1682" s="2" t="s">
        <v>7674</v>
      </c>
      <c r="Y1682" s="2">
        <v>5</v>
      </c>
      <c r="Z1682" s="2">
        <v>33</v>
      </c>
      <c r="AA1682" s="2">
        <v>9</v>
      </c>
      <c r="AB1682" s="2">
        <v>6</v>
      </c>
      <c r="AC1682" s="2">
        <v>13</v>
      </c>
      <c r="AD1682" s="2">
        <v>8</v>
      </c>
      <c r="AE1682" s="2" t="s">
        <v>0</v>
      </c>
      <c r="AF1682" s="2">
        <v>1</v>
      </c>
      <c r="AG1682" s="2" t="s">
        <v>49</v>
      </c>
    </row>
    <row r="1683" spans="1:33" ht="102" x14ac:dyDescent="0.2">
      <c r="A1683" s="5" t="str">
        <f>HYPERLINK("http://www.patentics.cn/invokexml.do?sf=ShowPatent&amp;spn=CN103119884B&amp;sv=96b7b6818020c5a8345ea42013c972fd","CN103119884B")</f>
        <v>CN103119884B</v>
      </c>
      <c r="B1683" s="3" t="s">
        <v>7625</v>
      </c>
      <c r="C1683" s="3" t="s">
        <v>7626</v>
      </c>
      <c r="D1683" s="3" t="s">
        <v>338</v>
      </c>
      <c r="E1683" s="3" t="s">
        <v>338</v>
      </c>
      <c r="F1683" s="3" t="s">
        <v>7627</v>
      </c>
      <c r="G1683" s="3" t="s">
        <v>1190</v>
      </c>
      <c r="H1683" s="3" t="s">
        <v>3181</v>
      </c>
      <c r="I1683" s="3" t="s">
        <v>5231</v>
      </c>
      <c r="J1683" s="3" t="s">
        <v>7628</v>
      </c>
      <c r="K1683" s="3" t="s">
        <v>58</v>
      </c>
      <c r="L1683" s="3" t="s">
        <v>1980</v>
      </c>
      <c r="M1683" s="3" t="s">
        <v>0</v>
      </c>
      <c r="N1683" s="3" t="s">
        <v>0</v>
      </c>
      <c r="O1683" s="3">
        <v>51</v>
      </c>
      <c r="P1683" s="3">
        <v>25</v>
      </c>
      <c r="Q1683" s="3" t="s">
        <v>60</v>
      </c>
      <c r="R1683" s="3" t="s">
        <v>61</v>
      </c>
      <c r="S1683" s="3">
        <v>3</v>
      </c>
      <c r="T1683" s="3">
        <v>0</v>
      </c>
      <c r="U1683" s="3">
        <v>3</v>
      </c>
      <c r="V1683" s="3">
        <v>2</v>
      </c>
      <c r="W1683" s="3">
        <v>8</v>
      </c>
      <c r="X1683" s="3" t="s">
        <v>147</v>
      </c>
      <c r="Y1683" s="3">
        <v>0</v>
      </c>
      <c r="Z1683" s="3">
        <v>8</v>
      </c>
      <c r="AA1683" s="3">
        <v>0</v>
      </c>
      <c r="AB1683" s="3">
        <v>1</v>
      </c>
      <c r="AC1683" s="3">
        <v>22</v>
      </c>
      <c r="AD1683" s="3">
        <v>7</v>
      </c>
      <c r="AE1683" s="3">
        <v>14</v>
      </c>
      <c r="AF1683" s="3" t="s">
        <v>0</v>
      </c>
      <c r="AG1683" s="3" t="s">
        <v>49</v>
      </c>
    </row>
    <row r="1684" spans="1:33" ht="51" x14ac:dyDescent="0.2">
      <c r="A1684" s="4" t="str">
        <f>HYPERLINK("http://www.patentics.cn/invokexml.do?sf=ShowPatent&amp;spn=CN101695017&amp;sv=a0220067de27a2b690aa6445a04fec47","CN101695017")</f>
        <v>CN101695017</v>
      </c>
      <c r="B1684" s="2" t="s">
        <v>7675</v>
      </c>
      <c r="C1684" s="2" t="s">
        <v>7676</v>
      </c>
      <c r="D1684" s="2" t="s">
        <v>38</v>
      </c>
      <c r="E1684" s="2" t="s">
        <v>38</v>
      </c>
      <c r="F1684" s="2" t="s">
        <v>7677</v>
      </c>
      <c r="G1684" s="2" t="s">
        <v>7678</v>
      </c>
      <c r="H1684" s="2" t="s">
        <v>7679</v>
      </c>
      <c r="I1684" s="2" t="s">
        <v>7679</v>
      </c>
      <c r="J1684" s="2" t="s">
        <v>1796</v>
      </c>
      <c r="K1684" s="2" t="s">
        <v>58</v>
      </c>
      <c r="L1684" s="2" t="s">
        <v>1980</v>
      </c>
      <c r="M1684" s="2" t="s">
        <v>0</v>
      </c>
      <c r="N1684" s="2" t="s">
        <v>0</v>
      </c>
      <c r="O1684" s="2">
        <v>14</v>
      </c>
      <c r="P1684" s="2">
        <v>10</v>
      </c>
      <c r="Q1684" s="2" t="s">
        <v>46</v>
      </c>
      <c r="R1684" s="2" t="s">
        <v>47</v>
      </c>
      <c r="S1684" s="2">
        <v>0</v>
      </c>
      <c r="T1684" s="2">
        <v>0</v>
      </c>
      <c r="U1684" s="2">
        <v>0</v>
      </c>
      <c r="V1684" s="2">
        <v>0</v>
      </c>
      <c r="W1684" s="2">
        <v>29</v>
      </c>
      <c r="X1684" s="2" t="s">
        <v>7680</v>
      </c>
      <c r="Y1684" s="2">
        <v>7</v>
      </c>
      <c r="Z1684" s="2">
        <v>22</v>
      </c>
      <c r="AA1684" s="2">
        <v>6</v>
      </c>
      <c r="AB1684" s="2">
        <v>4</v>
      </c>
      <c r="AC1684" s="2">
        <v>14</v>
      </c>
      <c r="AD1684" s="2">
        <v>8</v>
      </c>
      <c r="AE1684" s="2" t="s">
        <v>0</v>
      </c>
      <c r="AF1684" s="2">
        <v>1</v>
      </c>
      <c r="AG1684" s="2" t="s">
        <v>2523</v>
      </c>
    </row>
    <row r="1685" spans="1:33" ht="25.5" x14ac:dyDescent="0.2">
      <c r="A1685" s="5" t="str">
        <f>HYPERLINK("http://www.patentics.cn/invokexml.do?sf=ShowPatent&amp;spn=CN103125089B&amp;sv=54be2c041bb5deec081600b315e104bc","CN103125089B")</f>
        <v>CN103125089B</v>
      </c>
      <c r="B1685" s="3" t="s">
        <v>7681</v>
      </c>
      <c r="C1685" s="3" t="s">
        <v>7682</v>
      </c>
      <c r="D1685" s="3" t="s">
        <v>338</v>
      </c>
      <c r="E1685" s="3" t="s">
        <v>338</v>
      </c>
      <c r="F1685" s="3" t="s">
        <v>2879</v>
      </c>
      <c r="G1685" s="3" t="s">
        <v>2880</v>
      </c>
      <c r="H1685" s="3" t="s">
        <v>4562</v>
      </c>
      <c r="I1685" s="3" t="s">
        <v>3623</v>
      </c>
      <c r="J1685" s="3" t="s">
        <v>7651</v>
      </c>
      <c r="K1685" s="3" t="s">
        <v>58</v>
      </c>
      <c r="L1685" s="3" t="s">
        <v>613</v>
      </c>
      <c r="M1685" s="3" t="s">
        <v>0</v>
      </c>
      <c r="N1685" s="3" t="s">
        <v>0</v>
      </c>
      <c r="O1685" s="3">
        <v>22</v>
      </c>
      <c r="P1685" s="3">
        <v>22</v>
      </c>
      <c r="Q1685" s="3" t="s">
        <v>60</v>
      </c>
      <c r="R1685" s="3" t="s">
        <v>61</v>
      </c>
      <c r="S1685" s="3">
        <v>1</v>
      </c>
      <c r="T1685" s="3">
        <v>0</v>
      </c>
      <c r="U1685" s="3">
        <v>1</v>
      </c>
      <c r="V1685" s="3">
        <v>1</v>
      </c>
      <c r="W1685" s="3">
        <v>0</v>
      </c>
      <c r="X1685" s="3" t="s">
        <v>147</v>
      </c>
      <c r="Y1685" s="3">
        <v>0</v>
      </c>
      <c r="Z1685" s="3">
        <v>0</v>
      </c>
      <c r="AA1685" s="3">
        <v>0</v>
      </c>
      <c r="AB1685" s="3">
        <v>0</v>
      </c>
      <c r="AC1685" s="3">
        <v>0</v>
      </c>
      <c r="AD1685" s="3">
        <v>0</v>
      </c>
      <c r="AE1685" s="3">
        <v>14</v>
      </c>
      <c r="AF1685" s="3" t="s">
        <v>0</v>
      </c>
      <c r="AG1685" s="3" t="s">
        <v>49</v>
      </c>
    </row>
    <row r="1686" spans="1:33" ht="25.5" x14ac:dyDescent="0.2">
      <c r="A1686" s="4" t="str">
        <f>HYPERLINK("http://www.patentics.cn/invokexml.do?sf=ShowPatent&amp;spn=CN101674112&amp;sv=f9bba7ccfafa38320c3a024712dd1ddb","CN101674112")</f>
        <v>CN101674112</v>
      </c>
      <c r="B1686" s="2" t="s">
        <v>7683</v>
      </c>
      <c r="C1686" s="2" t="s">
        <v>7684</v>
      </c>
      <c r="D1686" s="2" t="s">
        <v>38</v>
      </c>
      <c r="E1686" s="2" t="s">
        <v>38</v>
      </c>
      <c r="F1686" s="2" t="s">
        <v>7685</v>
      </c>
      <c r="G1686" s="2" t="s">
        <v>7686</v>
      </c>
      <c r="H1686" s="2" t="s">
        <v>5879</v>
      </c>
      <c r="I1686" s="2" t="s">
        <v>5879</v>
      </c>
      <c r="J1686" s="2" t="s">
        <v>2077</v>
      </c>
      <c r="K1686" s="2" t="s">
        <v>84</v>
      </c>
      <c r="L1686" s="2" t="s">
        <v>135</v>
      </c>
      <c r="M1686" s="2" t="s">
        <v>0</v>
      </c>
      <c r="N1686" s="2" t="s">
        <v>0</v>
      </c>
      <c r="O1686" s="2">
        <v>12</v>
      </c>
      <c r="P1686" s="2">
        <v>15</v>
      </c>
      <c r="Q1686" s="2" t="s">
        <v>46</v>
      </c>
      <c r="R1686" s="2" t="s">
        <v>47</v>
      </c>
      <c r="S1686" s="2">
        <v>0</v>
      </c>
      <c r="T1686" s="2">
        <v>0</v>
      </c>
      <c r="U1686" s="2">
        <v>0</v>
      </c>
      <c r="V1686" s="2">
        <v>0</v>
      </c>
      <c r="W1686" s="2">
        <v>1</v>
      </c>
      <c r="X1686" s="2" t="s">
        <v>1206</v>
      </c>
      <c r="Y1686" s="2">
        <v>0</v>
      </c>
      <c r="Z1686" s="2">
        <v>1</v>
      </c>
      <c r="AA1686" s="2">
        <v>1</v>
      </c>
      <c r="AB1686" s="2">
        <v>1</v>
      </c>
      <c r="AC1686" s="2">
        <v>1</v>
      </c>
      <c r="AD1686" s="2">
        <v>1</v>
      </c>
      <c r="AE1686" s="2" t="s">
        <v>0</v>
      </c>
      <c r="AF1686" s="2">
        <v>1</v>
      </c>
      <c r="AG1686" s="2" t="s">
        <v>49</v>
      </c>
    </row>
    <row r="1687" spans="1:33" ht="38.25" x14ac:dyDescent="0.2">
      <c r="A1687" s="5" t="str">
        <f>HYPERLINK("http://www.patentics.cn/invokexml.do?sf=ShowPatent&amp;spn=CN102918789B&amp;sv=0aca5ac8fd6409ac597c2d5f03ebc97e","CN102918789B")</f>
        <v>CN102918789B</v>
      </c>
      <c r="B1687" s="3" t="s">
        <v>7687</v>
      </c>
      <c r="C1687" s="3" t="s">
        <v>7688</v>
      </c>
      <c r="D1687" s="3" t="s">
        <v>338</v>
      </c>
      <c r="E1687" s="3" t="s">
        <v>338</v>
      </c>
      <c r="F1687" s="3" t="s">
        <v>7689</v>
      </c>
      <c r="G1687" s="3" t="s">
        <v>7690</v>
      </c>
      <c r="H1687" s="3" t="s">
        <v>5507</v>
      </c>
      <c r="I1687" s="3" t="s">
        <v>7691</v>
      </c>
      <c r="J1687" s="3" t="s">
        <v>2882</v>
      </c>
      <c r="K1687" s="3" t="s">
        <v>70</v>
      </c>
      <c r="L1687" s="3" t="s">
        <v>71</v>
      </c>
      <c r="M1687" s="3" t="s">
        <v>0</v>
      </c>
      <c r="N1687" s="3" t="s">
        <v>0</v>
      </c>
      <c r="O1687" s="3">
        <v>22</v>
      </c>
      <c r="P1687" s="3">
        <v>16</v>
      </c>
      <c r="Q1687" s="3" t="s">
        <v>60</v>
      </c>
      <c r="R1687" s="3" t="s">
        <v>61</v>
      </c>
      <c r="S1687" s="3">
        <v>3</v>
      </c>
      <c r="T1687" s="3">
        <v>1</v>
      </c>
      <c r="U1687" s="3">
        <v>2</v>
      </c>
      <c r="V1687" s="3">
        <v>3</v>
      </c>
      <c r="W1687" s="3">
        <v>0</v>
      </c>
      <c r="X1687" s="3" t="s">
        <v>147</v>
      </c>
      <c r="Y1687" s="3">
        <v>0</v>
      </c>
      <c r="Z1687" s="3">
        <v>0</v>
      </c>
      <c r="AA1687" s="3">
        <v>0</v>
      </c>
      <c r="AB1687" s="3">
        <v>0</v>
      </c>
      <c r="AC1687" s="3">
        <v>0</v>
      </c>
      <c r="AD1687" s="3">
        <v>0</v>
      </c>
      <c r="AE1687" s="3">
        <v>14</v>
      </c>
      <c r="AF1687" s="3" t="s">
        <v>0</v>
      </c>
      <c r="AG1687" s="3" t="s">
        <v>49</v>
      </c>
    </row>
    <row r="1688" spans="1:33" ht="25.5" x14ac:dyDescent="0.2">
      <c r="A1688" s="4" t="str">
        <f>HYPERLINK("http://www.patentics.cn/invokexml.do?sf=ShowPatent&amp;spn=CN101667946&amp;sv=dccc946a508869ea9a503cd781c210d0","CN101667946")</f>
        <v>CN101667946</v>
      </c>
      <c r="B1688" s="2" t="s">
        <v>7692</v>
      </c>
      <c r="C1688" s="2" t="s">
        <v>7693</v>
      </c>
      <c r="D1688" s="2" t="s">
        <v>38</v>
      </c>
      <c r="E1688" s="2" t="s">
        <v>38</v>
      </c>
      <c r="F1688" s="2" t="s">
        <v>5871</v>
      </c>
      <c r="G1688" s="2" t="s">
        <v>5871</v>
      </c>
      <c r="H1688" s="2" t="s">
        <v>2099</v>
      </c>
      <c r="I1688" s="2" t="s">
        <v>2099</v>
      </c>
      <c r="J1688" s="2" t="s">
        <v>7694</v>
      </c>
      <c r="K1688" s="2" t="s">
        <v>58</v>
      </c>
      <c r="L1688" s="2" t="s">
        <v>289</v>
      </c>
      <c r="M1688" s="2" t="s">
        <v>0</v>
      </c>
      <c r="N1688" s="2" t="s">
        <v>0</v>
      </c>
      <c r="O1688" s="2">
        <v>19</v>
      </c>
      <c r="P1688" s="2">
        <v>12</v>
      </c>
      <c r="Q1688" s="2" t="s">
        <v>46</v>
      </c>
      <c r="R1688" s="2" t="s">
        <v>47</v>
      </c>
      <c r="S1688" s="2">
        <v>0</v>
      </c>
      <c r="T1688" s="2">
        <v>0</v>
      </c>
      <c r="U1688" s="2">
        <v>0</v>
      </c>
      <c r="V1688" s="2">
        <v>0</v>
      </c>
      <c r="W1688" s="2">
        <v>1</v>
      </c>
      <c r="X1688" s="2" t="s">
        <v>189</v>
      </c>
      <c r="Y1688" s="2">
        <v>0</v>
      </c>
      <c r="Z1688" s="2">
        <v>1</v>
      </c>
      <c r="AA1688" s="2">
        <v>1</v>
      </c>
      <c r="AB1688" s="2">
        <v>1</v>
      </c>
      <c r="AC1688" s="2">
        <v>1</v>
      </c>
      <c r="AD1688" s="2">
        <v>1</v>
      </c>
      <c r="AE1688" s="2" t="s">
        <v>0</v>
      </c>
      <c r="AF1688" s="2">
        <v>1</v>
      </c>
      <c r="AG1688" s="2" t="s">
        <v>49</v>
      </c>
    </row>
    <row r="1689" spans="1:33" ht="63.75" x14ac:dyDescent="0.2">
      <c r="A1689" s="5" t="str">
        <f>HYPERLINK("http://www.patentics.cn/invokexml.do?sf=ShowPatent&amp;spn=CN103004276B&amp;sv=f1864c83f8bbb7f416fac20c86094b88","CN103004276B")</f>
        <v>CN103004276B</v>
      </c>
      <c r="B1689" s="3" t="s">
        <v>7695</v>
      </c>
      <c r="C1689" s="3" t="s">
        <v>7696</v>
      </c>
      <c r="D1689" s="3" t="s">
        <v>338</v>
      </c>
      <c r="E1689" s="3" t="s">
        <v>338</v>
      </c>
      <c r="F1689" s="3" t="s">
        <v>7697</v>
      </c>
      <c r="G1689" s="3" t="s">
        <v>3856</v>
      </c>
      <c r="H1689" s="3" t="s">
        <v>7698</v>
      </c>
      <c r="I1689" s="3" t="s">
        <v>182</v>
      </c>
      <c r="J1689" s="3" t="s">
        <v>7699</v>
      </c>
      <c r="K1689" s="3" t="s">
        <v>82</v>
      </c>
      <c r="L1689" s="3" t="s">
        <v>7700</v>
      </c>
      <c r="M1689" s="3" t="s">
        <v>0</v>
      </c>
      <c r="N1689" s="3" t="s">
        <v>0</v>
      </c>
      <c r="O1689" s="3">
        <v>42</v>
      </c>
      <c r="P1689" s="3">
        <v>17</v>
      </c>
      <c r="Q1689" s="3" t="s">
        <v>60</v>
      </c>
      <c r="R1689" s="3" t="s">
        <v>61</v>
      </c>
      <c r="S1689" s="3">
        <v>5</v>
      </c>
      <c r="T1689" s="3">
        <v>1</v>
      </c>
      <c r="U1689" s="3">
        <v>4</v>
      </c>
      <c r="V1689" s="3">
        <v>5</v>
      </c>
      <c r="W1689" s="3">
        <v>0</v>
      </c>
      <c r="X1689" s="3" t="s">
        <v>147</v>
      </c>
      <c r="Y1689" s="3">
        <v>0</v>
      </c>
      <c r="Z1689" s="3">
        <v>0</v>
      </c>
      <c r="AA1689" s="3">
        <v>0</v>
      </c>
      <c r="AB1689" s="3">
        <v>0</v>
      </c>
      <c r="AC1689" s="3">
        <v>0</v>
      </c>
      <c r="AD1689" s="3">
        <v>0</v>
      </c>
      <c r="AE1689" s="3">
        <v>14</v>
      </c>
      <c r="AF1689" s="3" t="s">
        <v>0</v>
      </c>
      <c r="AG1689" s="3" t="s">
        <v>49</v>
      </c>
    </row>
    <row r="1690" spans="1:33" ht="25.5" x14ac:dyDescent="0.2">
      <c r="A1690" s="4" t="str">
        <f>HYPERLINK("http://www.patentics.cn/invokexml.do?sf=ShowPatent&amp;spn=CN101640922&amp;sv=00094cf17e7a72c902fd7c5e885a31d5","CN101640922")</f>
        <v>CN101640922</v>
      </c>
      <c r="B1690" s="2" t="s">
        <v>7701</v>
      </c>
      <c r="C1690" s="2" t="s">
        <v>7702</v>
      </c>
      <c r="D1690" s="2" t="s">
        <v>38</v>
      </c>
      <c r="E1690" s="2" t="s">
        <v>38</v>
      </c>
      <c r="F1690" s="2" t="s">
        <v>5288</v>
      </c>
      <c r="G1690" s="2" t="s">
        <v>5289</v>
      </c>
      <c r="H1690" s="2" t="s">
        <v>0</v>
      </c>
      <c r="I1690" s="2" t="s">
        <v>7703</v>
      </c>
      <c r="J1690" s="2" t="s">
        <v>7704</v>
      </c>
      <c r="K1690" s="2" t="s">
        <v>82</v>
      </c>
      <c r="L1690" s="2" t="s">
        <v>2789</v>
      </c>
      <c r="M1690" s="2" t="s">
        <v>0</v>
      </c>
      <c r="N1690" s="2" t="s">
        <v>0</v>
      </c>
      <c r="O1690" s="2">
        <v>14</v>
      </c>
      <c r="P1690" s="2">
        <v>17</v>
      </c>
      <c r="Q1690" s="2" t="s">
        <v>46</v>
      </c>
      <c r="R1690" s="2" t="s">
        <v>47</v>
      </c>
      <c r="S1690" s="2">
        <v>0</v>
      </c>
      <c r="T1690" s="2">
        <v>0</v>
      </c>
      <c r="U1690" s="2">
        <v>0</v>
      </c>
      <c r="V1690" s="2">
        <v>0</v>
      </c>
      <c r="W1690" s="2">
        <v>6</v>
      </c>
      <c r="X1690" s="2" t="s">
        <v>5874</v>
      </c>
      <c r="Y1690" s="2">
        <v>0</v>
      </c>
      <c r="Z1690" s="2">
        <v>6</v>
      </c>
      <c r="AA1690" s="2">
        <v>4</v>
      </c>
      <c r="AB1690" s="2">
        <v>3</v>
      </c>
      <c r="AC1690" s="2">
        <v>0</v>
      </c>
      <c r="AD1690" s="2">
        <v>0</v>
      </c>
      <c r="AE1690" s="2" t="s">
        <v>0</v>
      </c>
      <c r="AF1690" s="2">
        <v>1</v>
      </c>
      <c r="AG1690" s="2" t="s">
        <v>547</v>
      </c>
    </row>
    <row r="1691" spans="1:33" ht="38.25" x14ac:dyDescent="0.2">
      <c r="A1691" s="5" t="str">
        <f>HYPERLINK("http://www.patentics.cn/invokexml.do?sf=ShowPatent&amp;spn=WO2014139174&amp;sv=7c3a9e49629ee3b23cc5630196b2b7a2","WO2014139174")</f>
        <v>WO2014139174</v>
      </c>
      <c r="B1691" s="3" t="s">
        <v>7566</v>
      </c>
      <c r="C1691" s="3" t="s">
        <v>7567</v>
      </c>
      <c r="D1691" s="3" t="s">
        <v>7568</v>
      </c>
      <c r="E1691" s="3" t="s">
        <v>7569</v>
      </c>
      <c r="F1691" s="3" t="s">
        <v>7570</v>
      </c>
      <c r="G1691" s="3" t="s">
        <v>7571</v>
      </c>
      <c r="H1691" s="3" t="s">
        <v>3387</v>
      </c>
      <c r="I1691" s="3" t="s">
        <v>3387</v>
      </c>
      <c r="J1691" s="3" t="s">
        <v>1087</v>
      </c>
      <c r="K1691" s="3" t="s">
        <v>82</v>
      </c>
      <c r="L1691" s="3" t="s">
        <v>2789</v>
      </c>
      <c r="M1691" s="3" t="s">
        <v>0</v>
      </c>
      <c r="N1691" s="3" t="s">
        <v>0</v>
      </c>
      <c r="O1691" s="3">
        <v>9</v>
      </c>
      <c r="P1691" s="3">
        <v>9</v>
      </c>
      <c r="Q1691" s="3" t="s">
        <v>352</v>
      </c>
      <c r="R1691" s="3" t="s">
        <v>47</v>
      </c>
      <c r="S1691" s="3">
        <v>3</v>
      </c>
      <c r="T1691" s="3">
        <v>0</v>
      </c>
      <c r="U1691" s="3">
        <v>3</v>
      </c>
      <c r="V1691" s="3">
        <v>2</v>
      </c>
      <c r="W1691" s="3">
        <v>3</v>
      </c>
      <c r="X1691" s="3" t="s">
        <v>1501</v>
      </c>
      <c r="Y1691" s="3">
        <v>0</v>
      </c>
      <c r="Z1691" s="3">
        <v>3</v>
      </c>
      <c r="AA1691" s="3">
        <v>2</v>
      </c>
      <c r="AB1691" s="3">
        <v>2</v>
      </c>
      <c r="AC1691" s="3">
        <v>3</v>
      </c>
      <c r="AD1691" s="3">
        <v>4</v>
      </c>
      <c r="AE1691" s="3">
        <v>14</v>
      </c>
      <c r="AF1691" s="3" t="s">
        <v>0</v>
      </c>
      <c r="AG1691" s="3" t="s">
        <v>0</v>
      </c>
    </row>
    <row r="1692" spans="1:33" ht="25.5" x14ac:dyDescent="0.2">
      <c r="A1692" s="4" t="str">
        <f>HYPERLINK("http://www.patentics.cn/invokexml.do?sf=ShowPatent&amp;spn=CN101626610&amp;sv=921f5defc645a0da455d89729cbde749","CN101626610")</f>
        <v>CN101626610</v>
      </c>
      <c r="B1692" s="2" t="s">
        <v>7705</v>
      </c>
      <c r="C1692" s="2" t="s">
        <v>7706</v>
      </c>
      <c r="D1692" s="2" t="s">
        <v>38</v>
      </c>
      <c r="E1692" s="2" t="s">
        <v>38</v>
      </c>
      <c r="F1692" s="2" t="s">
        <v>7707</v>
      </c>
      <c r="G1692" s="2" t="s">
        <v>7708</v>
      </c>
      <c r="H1692" s="2" t="s">
        <v>0</v>
      </c>
      <c r="I1692" s="2" t="s">
        <v>7709</v>
      </c>
      <c r="J1692" s="2" t="s">
        <v>3749</v>
      </c>
      <c r="K1692" s="2" t="s">
        <v>82</v>
      </c>
      <c r="L1692" s="2" t="s">
        <v>7710</v>
      </c>
      <c r="M1692" s="2" t="s">
        <v>0</v>
      </c>
      <c r="N1692" s="2" t="s">
        <v>0</v>
      </c>
      <c r="O1692" s="2">
        <v>10</v>
      </c>
      <c r="P1692" s="2">
        <v>13</v>
      </c>
      <c r="Q1692" s="2" t="s">
        <v>46</v>
      </c>
      <c r="R1692" s="2" t="s">
        <v>47</v>
      </c>
      <c r="S1692" s="2">
        <v>0</v>
      </c>
      <c r="T1692" s="2">
        <v>0</v>
      </c>
      <c r="U1692" s="2">
        <v>0</v>
      </c>
      <c r="V1692" s="2">
        <v>0</v>
      </c>
      <c r="W1692" s="2">
        <v>4</v>
      </c>
      <c r="X1692" s="2" t="s">
        <v>4780</v>
      </c>
      <c r="Y1692" s="2">
        <v>1</v>
      </c>
      <c r="Z1692" s="2">
        <v>3</v>
      </c>
      <c r="AA1692" s="2">
        <v>3</v>
      </c>
      <c r="AB1692" s="2">
        <v>2</v>
      </c>
      <c r="AC1692" s="2">
        <v>0</v>
      </c>
      <c r="AD1692" s="2">
        <v>0</v>
      </c>
      <c r="AE1692" s="2" t="s">
        <v>0</v>
      </c>
      <c r="AF1692" s="2">
        <v>1</v>
      </c>
      <c r="AG1692" s="2" t="s">
        <v>2523</v>
      </c>
    </row>
    <row r="1693" spans="1:33" ht="165.75" x14ac:dyDescent="0.2">
      <c r="A1693" s="5" t="str">
        <f>HYPERLINK("http://www.patentics.cn/invokexml.do?sf=ShowPatent&amp;spn=US9137757&amp;sv=3a33d435198623b6f034e9cc6f0fa67f","US9137757")</f>
        <v>US9137757</v>
      </c>
      <c r="B1693" s="3" t="s">
        <v>7711</v>
      </c>
      <c r="C1693" s="3" t="s">
        <v>7712</v>
      </c>
      <c r="D1693" s="3" t="s">
        <v>52</v>
      </c>
      <c r="E1693" s="3" t="s">
        <v>52</v>
      </c>
      <c r="F1693" s="3" t="s">
        <v>7713</v>
      </c>
      <c r="G1693" s="3" t="s">
        <v>7714</v>
      </c>
      <c r="H1693" s="3" t="s">
        <v>2296</v>
      </c>
      <c r="I1693" s="3" t="s">
        <v>1404</v>
      </c>
      <c r="J1693" s="3" t="s">
        <v>225</v>
      </c>
      <c r="K1693" s="3" t="s">
        <v>84</v>
      </c>
      <c r="L1693" s="3" t="s">
        <v>163</v>
      </c>
      <c r="M1693" s="3" t="s">
        <v>82</v>
      </c>
      <c r="N1693" s="3" t="s">
        <v>459</v>
      </c>
      <c r="O1693" s="3">
        <v>0</v>
      </c>
      <c r="P1693" s="3">
        <v>20</v>
      </c>
      <c r="Q1693" s="3" t="s">
        <v>60</v>
      </c>
      <c r="R1693" s="3" t="s">
        <v>61</v>
      </c>
      <c r="S1693" s="3">
        <v>24</v>
      </c>
      <c r="T1693" s="3">
        <v>2</v>
      </c>
      <c r="U1693" s="3">
        <v>22</v>
      </c>
      <c r="V1693" s="3">
        <v>10</v>
      </c>
      <c r="W1693" s="3">
        <v>0</v>
      </c>
      <c r="X1693" s="3" t="s">
        <v>147</v>
      </c>
      <c r="Y1693" s="3">
        <v>0</v>
      </c>
      <c r="Z1693" s="3">
        <v>0</v>
      </c>
      <c r="AA1693" s="3">
        <v>0</v>
      </c>
      <c r="AB1693" s="3">
        <v>0</v>
      </c>
      <c r="AC1693" s="3">
        <v>11</v>
      </c>
      <c r="AD1693" s="3">
        <v>7</v>
      </c>
      <c r="AE1693" s="3">
        <v>14</v>
      </c>
      <c r="AF1693" s="3" t="s">
        <v>0</v>
      </c>
      <c r="AG1693" s="3" t="s">
        <v>49</v>
      </c>
    </row>
    <row r="1694" spans="1:33" ht="25.5" x14ac:dyDescent="0.2">
      <c r="A1694" s="4" t="str">
        <f>HYPERLINK("http://www.patentics.cn/invokexml.do?sf=ShowPatent&amp;spn=CN101621849&amp;sv=dfd222153a562165f72c0ac284fb32a2","CN101621849")</f>
        <v>CN101621849</v>
      </c>
      <c r="B1694" s="2" t="s">
        <v>7715</v>
      </c>
      <c r="C1694" s="2" t="s">
        <v>7716</v>
      </c>
      <c r="D1694" s="2" t="s">
        <v>38</v>
      </c>
      <c r="E1694" s="2" t="s">
        <v>38</v>
      </c>
      <c r="F1694" s="2" t="s">
        <v>7717</v>
      </c>
      <c r="G1694" s="2" t="s">
        <v>7718</v>
      </c>
      <c r="H1694" s="2" t="s">
        <v>7719</v>
      </c>
      <c r="I1694" s="2" t="s">
        <v>7719</v>
      </c>
      <c r="J1694" s="2" t="s">
        <v>7720</v>
      </c>
      <c r="K1694" s="2" t="s">
        <v>82</v>
      </c>
      <c r="L1694" s="2" t="s">
        <v>2908</v>
      </c>
      <c r="M1694" s="2" t="s">
        <v>0</v>
      </c>
      <c r="N1694" s="2" t="s">
        <v>0</v>
      </c>
      <c r="O1694" s="2">
        <v>7</v>
      </c>
      <c r="P1694" s="2">
        <v>33</v>
      </c>
      <c r="Q1694" s="2" t="s">
        <v>46</v>
      </c>
      <c r="R1694" s="2" t="s">
        <v>47</v>
      </c>
      <c r="S1694" s="2">
        <v>0</v>
      </c>
      <c r="T1694" s="2">
        <v>0</v>
      </c>
      <c r="U1694" s="2">
        <v>0</v>
      </c>
      <c r="V1694" s="2">
        <v>0</v>
      </c>
      <c r="W1694" s="2">
        <v>7</v>
      </c>
      <c r="X1694" s="2" t="s">
        <v>7721</v>
      </c>
      <c r="Y1694" s="2">
        <v>2</v>
      </c>
      <c r="Z1694" s="2">
        <v>5</v>
      </c>
      <c r="AA1694" s="2">
        <v>4</v>
      </c>
      <c r="AB1694" s="2">
        <v>3</v>
      </c>
      <c r="AC1694" s="2">
        <v>1</v>
      </c>
      <c r="AD1694" s="2">
        <v>1</v>
      </c>
      <c r="AE1694" s="2" t="s">
        <v>0</v>
      </c>
      <c r="AF1694" s="2">
        <v>1</v>
      </c>
      <c r="AG1694" s="2" t="s">
        <v>49</v>
      </c>
    </row>
    <row r="1695" spans="1:33" ht="140.25" x14ac:dyDescent="0.2">
      <c r="A1695" s="5" t="str">
        <f>HYPERLINK("http://www.patentics.cn/invokexml.do?sf=ShowPatent&amp;spn=US9337962&amp;sv=400600e7c92bd3850834cdcfa316e455","US9337962")</f>
        <v>US9337962</v>
      </c>
      <c r="B1695" s="3" t="s">
        <v>7722</v>
      </c>
      <c r="C1695" s="3" t="s">
        <v>7723</v>
      </c>
      <c r="D1695" s="3" t="s">
        <v>52</v>
      </c>
      <c r="E1695" s="3" t="s">
        <v>52</v>
      </c>
      <c r="F1695" s="3" t="s">
        <v>7724</v>
      </c>
      <c r="G1695" s="3" t="s">
        <v>1874</v>
      </c>
      <c r="H1695" s="3" t="s">
        <v>2137</v>
      </c>
      <c r="I1695" s="3" t="s">
        <v>6167</v>
      </c>
      <c r="J1695" s="3" t="s">
        <v>840</v>
      </c>
      <c r="K1695" s="3" t="s">
        <v>58</v>
      </c>
      <c r="L1695" s="3" t="s">
        <v>2734</v>
      </c>
      <c r="M1695" s="3" t="s">
        <v>58</v>
      </c>
      <c r="N1695" s="3" t="s">
        <v>7725</v>
      </c>
      <c r="O1695" s="3">
        <v>0</v>
      </c>
      <c r="P1695" s="3">
        <v>16</v>
      </c>
      <c r="Q1695" s="3" t="s">
        <v>60</v>
      </c>
      <c r="R1695" s="3" t="s">
        <v>61</v>
      </c>
      <c r="S1695" s="3">
        <v>16</v>
      </c>
      <c r="T1695" s="3">
        <v>1</v>
      </c>
      <c r="U1695" s="3">
        <v>15</v>
      </c>
      <c r="V1695" s="3">
        <v>11</v>
      </c>
      <c r="W1695" s="3">
        <v>0</v>
      </c>
      <c r="X1695" s="3" t="s">
        <v>147</v>
      </c>
      <c r="Y1695" s="3">
        <v>0</v>
      </c>
      <c r="Z1695" s="3">
        <v>0</v>
      </c>
      <c r="AA1695" s="3">
        <v>0</v>
      </c>
      <c r="AB1695" s="3">
        <v>0</v>
      </c>
      <c r="AC1695" s="3">
        <v>10</v>
      </c>
      <c r="AD1695" s="3">
        <v>7</v>
      </c>
      <c r="AE1695" s="3">
        <v>14</v>
      </c>
      <c r="AF1695" s="3" t="s">
        <v>0</v>
      </c>
      <c r="AG1695" s="3" t="s">
        <v>49</v>
      </c>
    </row>
    <row r="1696" spans="1:33" ht="38.25" x14ac:dyDescent="0.2">
      <c r="A1696" s="4" t="str">
        <f>HYPERLINK("http://www.patentics.cn/invokexml.do?sf=ShowPatent&amp;spn=CN101605105&amp;sv=4986bd9b7df5d95bc4afcc6608fd33c6","CN101605105")</f>
        <v>CN101605105</v>
      </c>
      <c r="B1696" s="2" t="s">
        <v>7726</v>
      </c>
      <c r="C1696" s="2" t="s">
        <v>7727</v>
      </c>
      <c r="D1696" s="2" t="s">
        <v>38</v>
      </c>
      <c r="E1696" s="2" t="s">
        <v>38</v>
      </c>
      <c r="F1696" s="2" t="s">
        <v>7728</v>
      </c>
      <c r="G1696" s="2" t="s">
        <v>7729</v>
      </c>
      <c r="H1696" s="2" t="s">
        <v>6481</v>
      </c>
      <c r="I1696" s="2" t="s">
        <v>6481</v>
      </c>
      <c r="J1696" s="2" t="s">
        <v>7730</v>
      </c>
      <c r="K1696" s="2" t="s">
        <v>58</v>
      </c>
      <c r="L1696" s="2" t="s">
        <v>1236</v>
      </c>
      <c r="M1696" s="2" t="s">
        <v>0</v>
      </c>
      <c r="N1696" s="2" t="s">
        <v>0</v>
      </c>
      <c r="O1696" s="2">
        <v>10</v>
      </c>
      <c r="P1696" s="2">
        <v>19</v>
      </c>
      <c r="Q1696" s="2" t="s">
        <v>46</v>
      </c>
      <c r="R1696" s="2" t="s">
        <v>47</v>
      </c>
      <c r="S1696" s="2">
        <v>1</v>
      </c>
      <c r="T1696" s="2">
        <v>0</v>
      </c>
      <c r="U1696" s="2">
        <v>1</v>
      </c>
      <c r="V1696" s="2">
        <v>1</v>
      </c>
      <c r="W1696" s="2">
        <v>4</v>
      </c>
      <c r="X1696" s="2" t="s">
        <v>7731</v>
      </c>
      <c r="Y1696" s="2">
        <v>1</v>
      </c>
      <c r="Z1696" s="2">
        <v>3</v>
      </c>
      <c r="AA1696" s="2">
        <v>3</v>
      </c>
      <c r="AB1696" s="2">
        <v>2</v>
      </c>
      <c r="AC1696" s="2">
        <v>1</v>
      </c>
      <c r="AD1696" s="2">
        <v>1</v>
      </c>
      <c r="AE1696" s="2" t="s">
        <v>0</v>
      </c>
      <c r="AF1696" s="2">
        <v>1</v>
      </c>
      <c r="AG1696" s="2" t="s">
        <v>49</v>
      </c>
    </row>
    <row r="1697" spans="1:33" ht="25.5" x14ac:dyDescent="0.2">
      <c r="A1697" s="5" t="str">
        <f>HYPERLINK("http://www.patentics.cn/invokexml.do?sf=ShowPatent&amp;spn=WO2013063791&amp;sv=562d75e4243fdd42bfdc9cdd5a0703b9","WO2013063791")</f>
        <v>WO2013063791</v>
      </c>
      <c r="B1697" s="3" t="s">
        <v>7732</v>
      </c>
      <c r="C1697" s="3" t="s">
        <v>7733</v>
      </c>
      <c r="D1697" s="3" t="s">
        <v>7734</v>
      </c>
      <c r="E1697" s="3" t="s">
        <v>7735</v>
      </c>
      <c r="F1697" s="3" t="s">
        <v>7736</v>
      </c>
      <c r="G1697" s="3" t="s">
        <v>7737</v>
      </c>
      <c r="H1697" s="3" t="s">
        <v>0</v>
      </c>
      <c r="I1697" s="3" t="s">
        <v>4877</v>
      </c>
      <c r="J1697" s="3" t="s">
        <v>2725</v>
      </c>
      <c r="K1697" s="3" t="s">
        <v>58</v>
      </c>
      <c r="L1697" s="3" t="s">
        <v>722</v>
      </c>
      <c r="M1697" s="3" t="s">
        <v>0</v>
      </c>
      <c r="N1697" s="3" t="s">
        <v>0</v>
      </c>
      <c r="O1697" s="3">
        <v>1</v>
      </c>
      <c r="P1697" s="3">
        <v>79</v>
      </c>
      <c r="Q1697" s="3" t="s">
        <v>352</v>
      </c>
      <c r="R1697" s="3" t="s">
        <v>1387</v>
      </c>
      <c r="S1697" s="3">
        <v>3</v>
      </c>
      <c r="T1697" s="3">
        <v>0</v>
      </c>
      <c r="U1697" s="3">
        <v>3</v>
      </c>
      <c r="V1697" s="3">
        <v>3</v>
      </c>
      <c r="W1697" s="3">
        <v>1</v>
      </c>
      <c r="X1697" s="3" t="s">
        <v>1061</v>
      </c>
      <c r="Y1697" s="3">
        <v>0</v>
      </c>
      <c r="Z1697" s="3">
        <v>1</v>
      </c>
      <c r="AA1697" s="3">
        <v>1</v>
      </c>
      <c r="AB1697" s="3">
        <v>1</v>
      </c>
      <c r="AC1697" s="3">
        <v>0</v>
      </c>
      <c r="AD1697" s="3">
        <v>0</v>
      </c>
      <c r="AE1697" s="3">
        <v>14</v>
      </c>
      <c r="AF1697" s="3" t="s">
        <v>0</v>
      </c>
      <c r="AG1697" s="3" t="s">
        <v>0</v>
      </c>
    </row>
    <row r="1698" spans="1:33" ht="25.5" x14ac:dyDescent="0.2">
      <c r="A1698" s="4" t="str">
        <f>HYPERLINK("http://www.patentics.cn/invokexml.do?sf=ShowPatent&amp;spn=CN101605024&amp;sv=c7b8e16914ba7b784b4e74cebd8dc3cc","CN101605024")</f>
        <v>CN101605024</v>
      </c>
      <c r="B1698" s="2" t="s">
        <v>7738</v>
      </c>
      <c r="C1698" s="2" t="s">
        <v>7739</v>
      </c>
      <c r="D1698" s="2" t="s">
        <v>38</v>
      </c>
      <c r="E1698" s="2" t="s">
        <v>38</v>
      </c>
      <c r="F1698" s="2" t="s">
        <v>7740</v>
      </c>
      <c r="G1698" s="2" t="s">
        <v>2519</v>
      </c>
      <c r="H1698" s="2" t="s">
        <v>1374</v>
      </c>
      <c r="I1698" s="2" t="s">
        <v>1374</v>
      </c>
      <c r="J1698" s="2" t="s">
        <v>7730</v>
      </c>
      <c r="K1698" s="2" t="s">
        <v>58</v>
      </c>
      <c r="L1698" s="2" t="s">
        <v>1980</v>
      </c>
      <c r="M1698" s="2" t="s">
        <v>0</v>
      </c>
      <c r="N1698" s="2" t="s">
        <v>0</v>
      </c>
      <c r="O1698" s="2">
        <v>12</v>
      </c>
      <c r="P1698" s="2">
        <v>14</v>
      </c>
      <c r="Q1698" s="2" t="s">
        <v>46</v>
      </c>
      <c r="R1698" s="2" t="s">
        <v>47</v>
      </c>
      <c r="S1698" s="2">
        <v>0</v>
      </c>
      <c r="T1698" s="2">
        <v>0</v>
      </c>
      <c r="U1698" s="2">
        <v>0</v>
      </c>
      <c r="V1698" s="2">
        <v>0</v>
      </c>
      <c r="W1698" s="2">
        <v>8</v>
      </c>
      <c r="X1698" s="2" t="s">
        <v>7741</v>
      </c>
      <c r="Y1698" s="2">
        <v>1</v>
      </c>
      <c r="Z1698" s="2">
        <v>7</v>
      </c>
      <c r="AA1698" s="2">
        <v>2</v>
      </c>
      <c r="AB1698" s="2">
        <v>3</v>
      </c>
      <c r="AC1698" s="2">
        <v>1</v>
      </c>
      <c r="AD1698" s="2">
        <v>1</v>
      </c>
      <c r="AE1698" s="2" t="s">
        <v>0</v>
      </c>
      <c r="AF1698" s="2">
        <v>1</v>
      </c>
      <c r="AG1698" s="2" t="s">
        <v>49</v>
      </c>
    </row>
    <row r="1699" spans="1:33" ht="38.25" x14ac:dyDescent="0.2">
      <c r="A1699" s="5" t="str">
        <f>HYPERLINK("http://www.patentics.cn/invokexml.do?sf=ShowPatent&amp;spn=CN102696247B&amp;sv=a186d439553e873b2568dacbdb341b78","CN102696247B")</f>
        <v>CN102696247B</v>
      </c>
      <c r="B1699" s="3" t="s">
        <v>7742</v>
      </c>
      <c r="C1699" s="3" t="s">
        <v>7743</v>
      </c>
      <c r="D1699" s="3" t="s">
        <v>338</v>
      </c>
      <c r="E1699" s="3" t="s">
        <v>338</v>
      </c>
      <c r="F1699" s="3" t="s">
        <v>7744</v>
      </c>
      <c r="G1699" s="3" t="s">
        <v>2548</v>
      </c>
      <c r="H1699" s="3" t="s">
        <v>501</v>
      </c>
      <c r="I1699" s="3" t="s">
        <v>1191</v>
      </c>
      <c r="J1699" s="3" t="s">
        <v>7745</v>
      </c>
      <c r="K1699" s="3" t="s">
        <v>82</v>
      </c>
      <c r="L1699" s="3" t="s">
        <v>3029</v>
      </c>
      <c r="M1699" s="3" t="s">
        <v>0</v>
      </c>
      <c r="N1699" s="3" t="s">
        <v>0</v>
      </c>
      <c r="O1699" s="3">
        <v>23</v>
      </c>
      <c r="P1699" s="3">
        <v>18</v>
      </c>
      <c r="Q1699" s="3" t="s">
        <v>60</v>
      </c>
      <c r="R1699" s="3" t="s">
        <v>61</v>
      </c>
      <c r="S1699" s="3">
        <v>2</v>
      </c>
      <c r="T1699" s="3">
        <v>0</v>
      </c>
      <c r="U1699" s="3">
        <v>2</v>
      </c>
      <c r="V1699" s="3">
        <v>2</v>
      </c>
      <c r="W1699" s="3">
        <v>0</v>
      </c>
      <c r="X1699" s="3" t="s">
        <v>147</v>
      </c>
      <c r="Y1699" s="3">
        <v>0</v>
      </c>
      <c r="Z1699" s="3">
        <v>0</v>
      </c>
      <c r="AA1699" s="3">
        <v>0</v>
      </c>
      <c r="AB1699" s="3">
        <v>0</v>
      </c>
      <c r="AC1699" s="3">
        <v>0</v>
      </c>
      <c r="AD1699" s="3">
        <v>0</v>
      </c>
      <c r="AE1699" s="3">
        <v>14</v>
      </c>
      <c r="AF1699" s="3" t="s">
        <v>0</v>
      </c>
      <c r="AG1699" s="3" t="s">
        <v>49</v>
      </c>
    </row>
    <row r="1700" spans="1:33" ht="25.5" x14ac:dyDescent="0.2">
      <c r="A1700" s="4" t="str">
        <f>HYPERLINK("http://www.patentics.cn/invokexml.do?sf=ShowPatent&amp;spn=CN101600150&amp;sv=f8db542260d3a18e9c79340986ba7b98","CN101600150")</f>
        <v>CN101600150</v>
      </c>
      <c r="B1700" s="2" t="s">
        <v>7746</v>
      </c>
      <c r="C1700" s="2" t="s">
        <v>7747</v>
      </c>
      <c r="D1700" s="2" t="s">
        <v>38</v>
      </c>
      <c r="E1700" s="2" t="s">
        <v>38</v>
      </c>
      <c r="F1700" s="2" t="s">
        <v>7748</v>
      </c>
      <c r="G1700" s="2" t="s">
        <v>7749</v>
      </c>
      <c r="H1700" s="2" t="s">
        <v>0</v>
      </c>
      <c r="I1700" s="2" t="s">
        <v>7750</v>
      </c>
      <c r="J1700" s="2" t="s">
        <v>6747</v>
      </c>
      <c r="K1700" s="2" t="s">
        <v>82</v>
      </c>
      <c r="L1700" s="2" t="s">
        <v>2841</v>
      </c>
      <c r="M1700" s="2" t="s">
        <v>0</v>
      </c>
      <c r="N1700" s="2" t="s">
        <v>0</v>
      </c>
      <c r="O1700" s="2">
        <v>10</v>
      </c>
      <c r="P1700" s="2">
        <v>18</v>
      </c>
      <c r="Q1700" s="2" t="s">
        <v>46</v>
      </c>
      <c r="R1700" s="2" t="s">
        <v>47</v>
      </c>
      <c r="S1700" s="2">
        <v>0</v>
      </c>
      <c r="T1700" s="2">
        <v>0</v>
      </c>
      <c r="U1700" s="2">
        <v>0</v>
      </c>
      <c r="V1700" s="2">
        <v>0</v>
      </c>
      <c r="W1700" s="2">
        <v>6</v>
      </c>
      <c r="X1700" s="2" t="s">
        <v>7751</v>
      </c>
      <c r="Y1700" s="2">
        <v>3</v>
      </c>
      <c r="Z1700" s="2">
        <v>3</v>
      </c>
      <c r="AA1700" s="2">
        <v>4</v>
      </c>
      <c r="AB1700" s="2">
        <v>2</v>
      </c>
      <c r="AC1700" s="2">
        <v>0</v>
      </c>
      <c r="AD1700" s="2">
        <v>0</v>
      </c>
      <c r="AE1700" s="2" t="s">
        <v>0</v>
      </c>
      <c r="AF1700" s="2">
        <v>1</v>
      </c>
      <c r="AG1700" s="2" t="s">
        <v>547</v>
      </c>
    </row>
    <row r="1701" spans="1:33" ht="25.5" x14ac:dyDescent="0.2">
      <c r="A1701" s="5" t="str">
        <f>HYPERLINK("http://www.patentics.cn/invokexml.do?sf=ShowPatent&amp;spn=CN103154764B&amp;sv=6457949c0f907273dc0a790fd5b98ed1","CN103154764B")</f>
        <v>CN103154764B</v>
      </c>
      <c r="B1701" s="3" t="s">
        <v>7752</v>
      </c>
      <c r="C1701" s="3" t="s">
        <v>7753</v>
      </c>
      <c r="D1701" s="3" t="s">
        <v>338</v>
      </c>
      <c r="E1701" s="3" t="s">
        <v>338</v>
      </c>
      <c r="F1701" s="3" t="s">
        <v>7754</v>
      </c>
      <c r="G1701" s="3" t="s">
        <v>7755</v>
      </c>
      <c r="H1701" s="3" t="s">
        <v>6590</v>
      </c>
      <c r="I1701" s="3" t="s">
        <v>7756</v>
      </c>
      <c r="J1701" s="3" t="s">
        <v>2482</v>
      </c>
      <c r="K1701" s="3" t="s">
        <v>1935</v>
      </c>
      <c r="L1701" s="3" t="s">
        <v>1936</v>
      </c>
      <c r="M1701" s="3" t="s">
        <v>0</v>
      </c>
      <c r="N1701" s="3" t="s">
        <v>0</v>
      </c>
      <c r="O1701" s="3">
        <v>39</v>
      </c>
      <c r="P1701" s="3">
        <v>18</v>
      </c>
      <c r="Q1701" s="3" t="s">
        <v>60</v>
      </c>
      <c r="R1701" s="3" t="s">
        <v>61</v>
      </c>
      <c r="S1701" s="3">
        <v>3</v>
      </c>
      <c r="T1701" s="3">
        <v>0</v>
      </c>
      <c r="U1701" s="3">
        <v>3</v>
      </c>
      <c r="V1701" s="3">
        <v>2</v>
      </c>
      <c r="W1701" s="3">
        <v>0</v>
      </c>
      <c r="X1701" s="3" t="s">
        <v>147</v>
      </c>
      <c r="Y1701" s="3">
        <v>0</v>
      </c>
      <c r="Z1701" s="3">
        <v>0</v>
      </c>
      <c r="AA1701" s="3">
        <v>0</v>
      </c>
      <c r="AB1701" s="3">
        <v>0</v>
      </c>
      <c r="AC1701" s="3">
        <v>13</v>
      </c>
      <c r="AD1701" s="3">
        <v>7</v>
      </c>
      <c r="AE1701" s="3">
        <v>14</v>
      </c>
      <c r="AF1701" s="3" t="s">
        <v>0</v>
      </c>
      <c r="AG1701" s="3" t="s">
        <v>49</v>
      </c>
    </row>
    <row r="1702" spans="1:33" x14ac:dyDescent="0.2">
      <c r="A1702" s="4" t="str">
        <f>HYPERLINK("http://www.patentics.cn/invokexml.do?sf=ShowPatent&amp;spn=CN101594668&amp;sv=5bd1c2d617a61b9ea3cb983fceed377f","CN101594668")</f>
        <v>CN101594668</v>
      </c>
      <c r="B1702" s="2" t="s">
        <v>7757</v>
      </c>
      <c r="C1702" s="2" t="s">
        <v>7758</v>
      </c>
      <c r="D1702" s="2" t="s">
        <v>38</v>
      </c>
      <c r="E1702" s="2" t="s">
        <v>38</v>
      </c>
      <c r="F1702" s="2" t="s">
        <v>7759</v>
      </c>
      <c r="G1702" s="2" t="s">
        <v>7759</v>
      </c>
      <c r="H1702" s="2" t="s">
        <v>6400</v>
      </c>
      <c r="I1702" s="2" t="s">
        <v>6400</v>
      </c>
      <c r="J1702" s="2" t="s">
        <v>3774</v>
      </c>
      <c r="K1702" s="2" t="s">
        <v>82</v>
      </c>
      <c r="L1702" s="2" t="s">
        <v>7760</v>
      </c>
      <c r="M1702" s="2" t="s">
        <v>0</v>
      </c>
      <c r="N1702" s="2" t="s">
        <v>0</v>
      </c>
      <c r="O1702" s="2">
        <v>15</v>
      </c>
      <c r="P1702" s="2">
        <v>16</v>
      </c>
      <c r="Q1702" s="2" t="s">
        <v>46</v>
      </c>
      <c r="R1702" s="2" t="s">
        <v>47</v>
      </c>
      <c r="S1702" s="2">
        <v>0</v>
      </c>
      <c r="T1702" s="2">
        <v>0</v>
      </c>
      <c r="U1702" s="2">
        <v>0</v>
      </c>
      <c r="V1702" s="2">
        <v>0</v>
      </c>
      <c r="W1702" s="2">
        <v>10</v>
      </c>
      <c r="X1702" s="2" t="s">
        <v>7761</v>
      </c>
      <c r="Y1702" s="2">
        <v>2</v>
      </c>
      <c r="Z1702" s="2">
        <v>8</v>
      </c>
      <c r="AA1702" s="2">
        <v>4</v>
      </c>
      <c r="AB1702" s="2">
        <v>3</v>
      </c>
      <c r="AC1702" s="2">
        <v>2</v>
      </c>
      <c r="AD1702" s="2">
        <v>2</v>
      </c>
      <c r="AE1702" s="2" t="s">
        <v>0</v>
      </c>
      <c r="AF1702" s="2">
        <v>1</v>
      </c>
      <c r="AG1702" s="2" t="s">
        <v>49</v>
      </c>
    </row>
    <row r="1703" spans="1:33" ht="102" x14ac:dyDescent="0.2">
      <c r="A1703" s="5" t="str">
        <f>HYPERLINK("http://www.patentics.cn/invokexml.do?sf=ShowPatent&amp;spn=WO2013127057&amp;sv=6c06acc24ee66130e09f357f6cc4ffd6","WO2013127057")</f>
        <v>WO2013127057</v>
      </c>
      <c r="B1703" s="3" t="s">
        <v>7664</v>
      </c>
      <c r="C1703" s="3" t="s">
        <v>7665</v>
      </c>
      <c r="D1703" s="3" t="s">
        <v>7666</v>
      </c>
      <c r="E1703" s="3" t="s">
        <v>7667</v>
      </c>
      <c r="F1703" s="3" t="s">
        <v>7668</v>
      </c>
      <c r="G1703" s="3" t="s">
        <v>4755</v>
      </c>
      <c r="H1703" s="3" t="s">
        <v>7669</v>
      </c>
      <c r="I1703" s="3" t="s">
        <v>7669</v>
      </c>
      <c r="J1703" s="3" t="s">
        <v>738</v>
      </c>
      <c r="K1703" s="3" t="s">
        <v>82</v>
      </c>
      <c r="L1703" s="3" t="s">
        <v>244</v>
      </c>
      <c r="M1703" s="3" t="s">
        <v>0</v>
      </c>
      <c r="N1703" s="3" t="s">
        <v>0</v>
      </c>
      <c r="O1703" s="3">
        <v>3</v>
      </c>
      <c r="P1703" s="3">
        <v>25</v>
      </c>
      <c r="Q1703" s="3" t="s">
        <v>352</v>
      </c>
      <c r="R1703" s="3" t="s">
        <v>47</v>
      </c>
      <c r="S1703" s="3">
        <v>3</v>
      </c>
      <c r="T1703" s="3">
        <v>0</v>
      </c>
      <c r="U1703" s="3">
        <v>3</v>
      </c>
      <c r="V1703" s="3">
        <v>2</v>
      </c>
      <c r="W1703" s="3">
        <v>0</v>
      </c>
      <c r="X1703" s="3" t="s">
        <v>147</v>
      </c>
      <c r="Y1703" s="3">
        <v>0</v>
      </c>
      <c r="Z1703" s="3">
        <v>0</v>
      </c>
      <c r="AA1703" s="3">
        <v>0</v>
      </c>
      <c r="AB1703" s="3">
        <v>0</v>
      </c>
      <c r="AC1703" s="3">
        <v>8</v>
      </c>
      <c r="AD1703" s="3">
        <v>6</v>
      </c>
      <c r="AE1703" s="3">
        <v>14</v>
      </c>
      <c r="AF1703" s="3" t="s">
        <v>0</v>
      </c>
      <c r="AG1703" s="3" t="s">
        <v>0</v>
      </c>
    </row>
    <row r="1704" spans="1:33" ht="38.25" x14ac:dyDescent="0.2">
      <c r="A1704" s="4" t="str">
        <f>HYPERLINK("http://www.patentics.cn/invokexml.do?sf=ShowPatent&amp;spn=CN101594211&amp;sv=3478dbd0f5112f3b746f9191210a8db9","CN101594211")</f>
        <v>CN101594211</v>
      </c>
      <c r="B1704" s="2" t="s">
        <v>7762</v>
      </c>
      <c r="C1704" s="2" t="s">
        <v>7763</v>
      </c>
      <c r="D1704" s="2" t="s">
        <v>38</v>
      </c>
      <c r="E1704" s="2" t="s">
        <v>38</v>
      </c>
      <c r="F1704" s="2" t="s">
        <v>7764</v>
      </c>
      <c r="G1704" s="2" t="s">
        <v>3721</v>
      </c>
      <c r="H1704" s="2" t="s">
        <v>4250</v>
      </c>
      <c r="I1704" s="2" t="s">
        <v>4250</v>
      </c>
      <c r="J1704" s="2" t="s">
        <v>3774</v>
      </c>
      <c r="K1704" s="2" t="s">
        <v>58</v>
      </c>
      <c r="L1704" s="2" t="s">
        <v>2734</v>
      </c>
      <c r="M1704" s="2" t="s">
        <v>0</v>
      </c>
      <c r="N1704" s="2" t="s">
        <v>0</v>
      </c>
      <c r="O1704" s="2">
        <v>9</v>
      </c>
      <c r="P1704" s="2">
        <v>16</v>
      </c>
      <c r="Q1704" s="2" t="s">
        <v>46</v>
      </c>
      <c r="R1704" s="2" t="s">
        <v>47</v>
      </c>
      <c r="S1704" s="2">
        <v>0</v>
      </c>
      <c r="T1704" s="2">
        <v>0</v>
      </c>
      <c r="U1704" s="2">
        <v>0</v>
      </c>
      <c r="V1704" s="2">
        <v>0</v>
      </c>
      <c r="W1704" s="2">
        <v>62</v>
      </c>
      <c r="X1704" s="2" t="s">
        <v>7765</v>
      </c>
      <c r="Y1704" s="2">
        <v>21</v>
      </c>
      <c r="Z1704" s="2">
        <v>41</v>
      </c>
      <c r="AA1704" s="2">
        <v>13</v>
      </c>
      <c r="AB1704" s="2">
        <v>5</v>
      </c>
      <c r="AC1704" s="2">
        <v>2</v>
      </c>
      <c r="AD1704" s="2">
        <v>2</v>
      </c>
      <c r="AE1704" s="2" t="s">
        <v>0</v>
      </c>
      <c r="AF1704" s="2">
        <v>1</v>
      </c>
      <c r="AG1704" s="2" t="s">
        <v>49</v>
      </c>
    </row>
    <row r="1705" spans="1:33" ht="51" x14ac:dyDescent="0.2">
      <c r="A1705" s="5" t="str">
        <f>HYPERLINK("http://www.patentics.cn/invokexml.do?sf=ShowPatent&amp;spn=CN102804675B&amp;sv=f9b3f01344dcc9454b760345165592ef","CN102804675B")</f>
        <v>CN102804675B</v>
      </c>
      <c r="B1705" s="3" t="s">
        <v>7766</v>
      </c>
      <c r="C1705" s="3" t="s">
        <v>7767</v>
      </c>
      <c r="D1705" s="3" t="s">
        <v>338</v>
      </c>
      <c r="E1705" s="3" t="s">
        <v>338</v>
      </c>
      <c r="F1705" s="3" t="s">
        <v>7768</v>
      </c>
      <c r="G1705" s="3" t="s">
        <v>1190</v>
      </c>
      <c r="H1705" s="3" t="s">
        <v>3090</v>
      </c>
      <c r="I1705" s="3" t="s">
        <v>7769</v>
      </c>
      <c r="J1705" s="3" t="s">
        <v>7770</v>
      </c>
      <c r="K1705" s="3" t="s">
        <v>58</v>
      </c>
      <c r="L1705" s="3" t="s">
        <v>188</v>
      </c>
      <c r="M1705" s="3" t="s">
        <v>0</v>
      </c>
      <c r="N1705" s="3" t="s">
        <v>0</v>
      </c>
      <c r="O1705" s="3">
        <v>32</v>
      </c>
      <c r="P1705" s="3">
        <v>17</v>
      </c>
      <c r="Q1705" s="3" t="s">
        <v>60</v>
      </c>
      <c r="R1705" s="3" t="s">
        <v>61</v>
      </c>
      <c r="S1705" s="3">
        <v>2</v>
      </c>
      <c r="T1705" s="3">
        <v>0</v>
      </c>
      <c r="U1705" s="3">
        <v>2</v>
      </c>
      <c r="V1705" s="3">
        <v>2</v>
      </c>
      <c r="W1705" s="3">
        <v>0</v>
      </c>
      <c r="X1705" s="3" t="s">
        <v>147</v>
      </c>
      <c r="Y1705" s="3">
        <v>0</v>
      </c>
      <c r="Z1705" s="3">
        <v>0</v>
      </c>
      <c r="AA1705" s="3">
        <v>0</v>
      </c>
      <c r="AB1705" s="3">
        <v>0</v>
      </c>
      <c r="AC1705" s="3">
        <v>0</v>
      </c>
      <c r="AD1705" s="3">
        <v>0</v>
      </c>
      <c r="AE1705" s="3">
        <v>14</v>
      </c>
      <c r="AF1705" s="3" t="s">
        <v>0</v>
      </c>
      <c r="AG1705" s="3" t="s">
        <v>49</v>
      </c>
    </row>
    <row r="1706" spans="1:33" ht="25.5" x14ac:dyDescent="0.2">
      <c r="A1706" s="4" t="str">
        <f>HYPERLINK("http://www.patentics.cn/invokexml.do?sf=ShowPatent&amp;spn=CN101594221&amp;sv=3fde6f2499839715fdabb28ebc167755","CN101594221")</f>
        <v>CN101594221</v>
      </c>
      <c r="B1706" s="2" t="s">
        <v>7771</v>
      </c>
      <c r="C1706" s="2" t="s">
        <v>7772</v>
      </c>
      <c r="D1706" s="2" t="s">
        <v>38</v>
      </c>
      <c r="E1706" s="2" t="s">
        <v>38</v>
      </c>
      <c r="F1706" s="2" t="s">
        <v>7773</v>
      </c>
      <c r="G1706" s="2" t="s">
        <v>7773</v>
      </c>
      <c r="H1706" s="2" t="s">
        <v>1580</v>
      </c>
      <c r="I1706" s="2" t="s">
        <v>1580</v>
      </c>
      <c r="J1706" s="2" t="s">
        <v>3774</v>
      </c>
      <c r="K1706" s="2" t="s">
        <v>58</v>
      </c>
      <c r="L1706" s="2" t="s">
        <v>1980</v>
      </c>
      <c r="M1706" s="2" t="s">
        <v>0</v>
      </c>
      <c r="N1706" s="2" t="s">
        <v>0</v>
      </c>
      <c r="O1706" s="2">
        <v>6</v>
      </c>
      <c r="P1706" s="2">
        <v>18</v>
      </c>
      <c r="Q1706" s="2" t="s">
        <v>46</v>
      </c>
      <c r="R1706" s="2" t="s">
        <v>47</v>
      </c>
      <c r="S1706" s="2">
        <v>0</v>
      </c>
      <c r="T1706" s="2">
        <v>0</v>
      </c>
      <c r="U1706" s="2">
        <v>0</v>
      </c>
      <c r="V1706" s="2">
        <v>0</v>
      </c>
      <c r="W1706" s="2">
        <v>1</v>
      </c>
      <c r="X1706" s="2" t="s">
        <v>403</v>
      </c>
      <c r="Y1706" s="2">
        <v>0</v>
      </c>
      <c r="Z1706" s="2">
        <v>1</v>
      </c>
      <c r="AA1706" s="2">
        <v>1</v>
      </c>
      <c r="AB1706" s="2">
        <v>1</v>
      </c>
      <c r="AC1706" s="2">
        <v>1</v>
      </c>
      <c r="AD1706" s="2">
        <v>1</v>
      </c>
      <c r="AE1706" s="2" t="s">
        <v>0</v>
      </c>
      <c r="AF1706" s="2">
        <v>1</v>
      </c>
      <c r="AG1706" s="2" t="s">
        <v>49</v>
      </c>
    </row>
    <row r="1707" spans="1:33" ht="38.25" x14ac:dyDescent="0.2">
      <c r="A1707" s="5" t="str">
        <f>HYPERLINK("http://www.patentics.cn/invokexml.do?sf=ShowPatent&amp;spn=US9628226&amp;sv=43ff29a56c71b207b602e7c2bfba8ad8","US9628226")</f>
        <v>US9628226</v>
      </c>
      <c r="B1707" s="3" t="s">
        <v>7774</v>
      </c>
      <c r="C1707" s="3" t="s">
        <v>7775</v>
      </c>
      <c r="D1707" s="3" t="s">
        <v>52</v>
      </c>
      <c r="E1707" s="3" t="s">
        <v>52</v>
      </c>
      <c r="F1707" s="3" t="s">
        <v>7506</v>
      </c>
      <c r="G1707" s="3" t="s">
        <v>7506</v>
      </c>
      <c r="H1707" s="3" t="s">
        <v>0</v>
      </c>
      <c r="I1707" s="3" t="s">
        <v>4596</v>
      </c>
      <c r="J1707" s="3" t="s">
        <v>744</v>
      </c>
      <c r="K1707" s="3" t="s">
        <v>58</v>
      </c>
      <c r="L1707" s="3" t="s">
        <v>7776</v>
      </c>
      <c r="M1707" s="3" t="s">
        <v>58</v>
      </c>
      <c r="N1707" s="3" t="s">
        <v>7777</v>
      </c>
      <c r="O1707" s="3">
        <v>0</v>
      </c>
      <c r="P1707" s="3">
        <v>17</v>
      </c>
      <c r="Q1707" s="3" t="s">
        <v>60</v>
      </c>
      <c r="R1707" s="3" t="s">
        <v>61</v>
      </c>
      <c r="S1707" s="3">
        <v>19</v>
      </c>
      <c r="T1707" s="3">
        <v>1</v>
      </c>
      <c r="U1707" s="3">
        <v>18</v>
      </c>
      <c r="V1707" s="3">
        <v>12</v>
      </c>
      <c r="W1707" s="3">
        <v>0</v>
      </c>
      <c r="X1707" s="3" t="s">
        <v>147</v>
      </c>
      <c r="Y1707" s="3">
        <v>0</v>
      </c>
      <c r="Z1707" s="3">
        <v>0</v>
      </c>
      <c r="AA1707" s="3">
        <v>0</v>
      </c>
      <c r="AB1707" s="3">
        <v>0</v>
      </c>
      <c r="AC1707" s="3">
        <v>0</v>
      </c>
      <c r="AD1707" s="3">
        <v>0</v>
      </c>
      <c r="AE1707" s="3">
        <v>14</v>
      </c>
      <c r="AF1707" s="3" t="s">
        <v>0</v>
      </c>
      <c r="AG1707" s="3" t="s">
        <v>49</v>
      </c>
    </row>
    <row r="1708" spans="1:33" x14ac:dyDescent="0.2">
      <c r="A1708" s="4" t="str">
        <f>HYPERLINK("http://www.patentics.cn/invokexml.do?sf=ShowPatent&amp;spn=CN101588631&amp;sv=0aa35ba284d94b188f0b31689e07aff4","CN101588631")</f>
        <v>CN101588631</v>
      </c>
      <c r="B1708" s="2" t="s">
        <v>7778</v>
      </c>
      <c r="C1708" s="2" t="s">
        <v>7779</v>
      </c>
      <c r="D1708" s="2" t="s">
        <v>38</v>
      </c>
      <c r="E1708" s="2" t="s">
        <v>38</v>
      </c>
      <c r="F1708" s="2" t="s">
        <v>7780</v>
      </c>
      <c r="G1708" s="2" t="s">
        <v>7780</v>
      </c>
      <c r="H1708" s="2" t="s">
        <v>3663</v>
      </c>
      <c r="I1708" s="2" t="s">
        <v>3663</v>
      </c>
      <c r="J1708" s="2" t="s">
        <v>1056</v>
      </c>
      <c r="K1708" s="2" t="s">
        <v>82</v>
      </c>
      <c r="L1708" s="2" t="s">
        <v>244</v>
      </c>
      <c r="M1708" s="2" t="s">
        <v>0</v>
      </c>
      <c r="N1708" s="2" t="s">
        <v>0</v>
      </c>
      <c r="O1708" s="2">
        <v>6</v>
      </c>
      <c r="P1708" s="2">
        <v>19</v>
      </c>
      <c r="Q1708" s="2" t="s">
        <v>46</v>
      </c>
      <c r="R1708" s="2" t="s">
        <v>47</v>
      </c>
      <c r="S1708" s="2">
        <v>0</v>
      </c>
      <c r="T1708" s="2">
        <v>0</v>
      </c>
      <c r="U1708" s="2">
        <v>0</v>
      </c>
      <c r="V1708" s="2">
        <v>0</v>
      </c>
      <c r="W1708" s="2">
        <v>3</v>
      </c>
      <c r="X1708" s="2" t="s">
        <v>2945</v>
      </c>
      <c r="Y1708" s="2">
        <v>0</v>
      </c>
      <c r="Z1708" s="2">
        <v>3</v>
      </c>
      <c r="AA1708" s="2">
        <v>3</v>
      </c>
      <c r="AB1708" s="2">
        <v>2</v>
      </c>
      <c r="AC1708" s="2">
        <v>1</v>
      </c>
      <c r="AD1708" s="2">
        <v>1</v>
      </c>
      <c r="AE1708" s="2" t="s">
        <v>0</v>
      </c>
      <c r="AF1708" s="2">
        <v>1</v>
      </c>
      <c r="AG1708" s="2" t="s">
        <v>49</v>
      </c>
    </row>
    <row r="1709" spans="1:33" ht="89.25" x14ac:dyDescent="0.2">
      <c r="A1709" s="5" t="str">
        <f>HYPERLINK("http://www.patentics.cn/invokexml.do?sf=ShowPatent&amp;spn=US9407409&amp;sv=48174a41b3ec268eec9f81d6a50b7e65","US9407409")</f>
        <v>US9407409</v>
      </c>
      <c r="B1709" s="3" t="s">
        <v>7781</v>
      </c>
      <c r="C1709" s="3" t="s">
        <v>7782</v>
      </c>
      <c r="D1709" s="3" t="s">
        <v>52</v>
      </c>
      <c r="E1709" s="3" t="s">
        <v>52</v>
      </c>
      <c r="F1709" s="3" t="s">
        <v>7783</v>
      </c>
      <c r="G1709" s="3" t="s">
        <v>3733</v>
      </c>
      <c r="H1709" s="3" t="s">
        <v>7784</v>
      </c>
      <c r="I1709" s="3" t="s">
        <v>7785</v>
      </c>
      <c r="J1709" s="3" t="s">
        <v>322</v>
      </c>
      <c r="K1709" s="3" t="s">
        <v>84</v>
      </c>
      <c r="L1709" s="3" t="s">
        <v>114</v>
      </c>
      <c r="M1709" s="3" t="s">
        <v>58</v>
      </c>
      <c r="N1709" s="3" t="s">
        <v>335</v>
      </c>
      <c r="O1709" s="3">
        <v>0</v>
      </c>
      <c r="P1709" s="3">
        <v>19</v>
      </c>
      <c r="Q1709" s="3" t="s">
        <v>60</v>
      </c>
      <c r="R1709" s="3" t="s">
        <v>61</v>
      </c>
      <c r="S1709" s="3">
        <v>57</v>
      </c>
      <c r="T1709" s="3">
        <v>8</v>
      </c>
      <c r="U1709" s="3">
        <v>49</v>
      </c>
      <c r="V1709" s="3">
        <v>20</v>
      </c>
      <c r="W1709" s="3">
        <v>0</v>
      </c>
      <c r="X1709" s="3" t="s">
        <v>147</v>
      </c>
      <c r="Y1709" s="3">
        <v>0</v>
      </c>
      <c r="Z1709" s="3">
        <v>0</v>
      </c>
      <c r="AA1709" s="3">
        <v>0</v>
      </c>
      <c r="AB1709" s="3">
        <v>0</v>
      </c>
      <c r="AC1709" s="3">
        <v>25</v>
      </c>
      <c r="AD1709" s="3">
        <v>12</v>
      </c>
      <c r="AE1709" s="3">
        <v>14</v>
      </c>
      <c r="AF1709" s="3" t="s">
        <v>0</v>
      </c>
      <c r="AG1709" s="3" t="s">
        <v>49</v>
      </c>
    </row>
    <row r="1710" spans="1:33" ht="25.5" x14ac:dyDescent="0.2">
      <c r="A1710" s="4" t="str">
        <f>HYPERLINK("http://www.patentics.cn/invokexml.do?sf=ShowPatent&amp;spn=CN101553020&amp;sv=bf4ab4bb7a82b9eaf6d429c6b342bc0e","CN101553020")</f>
        <v>CN101553020</v>
      </c>
      <c r="B1710" s="2" t="s">
        <v>7786</v>
      </c>
      <c r="C1710" s="2" t="s">
        <v>7787</v>
      </c>
      <c r="D1710" s="2" t="s">
        <v>38</v>
      </c>
      <c r="E1710" s="2" t="s">
        <v>38</v>
      </c>
      <c r="F1710" s="2" t="s">
        <v>7788</v>
      </c>
      <c r="G1710" s="2" t="s">
        <v>4997</v>
      </c>
      <c r="H1710" s="2" t="s">
        <v>5812</v>
      </c>
      <c r="I1710" s="2" t="s">
        <v>5812</v>
      </c>
      <c r="J1710" s="2" t="s">
        <v>7789</v>
      </c>
      <c r="K1710" s="2" t="s">
        <v>82</v>
      </c>
      <c r="L1710" s="2" t="s">
        <v>3986</v>
      </c>
      <c r="M1710" s="2" t="s">
        <v>0</v>
      </c>
      <c r="N1710" s="2" t="s">
        <v>0</v>
      </c>
      <c r="O1710" s="2">
        <v>10</v>
      </c>
      <c r="P1710" s="2">
        <v>17</v>
      </c>
      <c r="Q1710" s="2" t="s">
        <v>46</v>
      </c>
      <c r="R1710" s="2" t="s">
        <v>47</v>
      </c>
      <c r="S1710" s="2">
        <v>0</v>
      </c>
      <c r="T1710" s="2">
        <v>0</v>
      </c>
      <c r="U1710" s="2">
        <v>0</v>
      </c>
      <c r="V1710" s="2">
        <v>0</v>
      </c>
      <c r="W1710" s="2">
        <v>8</v>
      </c>
      <c r="X1710" s="2" t="s">
        <v>7790</v>
      </c>
      <c r="Y1710" s="2">
        <v>4</v>
      </c>
      <c r="Z1710" s="2">
        <v>4</v>
      </c>
      <c r="AA1710" s="2">
        <v>3</v>
      </c>
      <c r="AB1710" s="2">
        <v>2</v>
      </c>
      <c r="AC1710" s="2">
        <v>1</v>
      </c>
      <c r="AD1710" s="2">
        <v>1</v>
      </c>
      <c r="AE1710" s="2" t="s">
        <v>0</v>
      </c>
      <c r="AF1710" s="2">
        <v>1</v>
      </c>
      <c r="AG1710" s="2" t="s">
        <v>49</v>
      </c>
    </row>
    <row r="1711" spans="1:33" ht="25.5" x14ac:dyDescent="0.2">
      <c r="A1711" s="5" t="str">
        <f>HYPERLINK("http://www.patentics.cn/invokexml.do?sf=ShowPatent&amp;spn=CN102823165B&amp;sv=ba4e0cfcd950c7d31e0d31f0d74c6eb7","CN102823165B")</f>
        <v>CN102823165B</v>
      </c>
      <c r="B1711" s="3" t="s">
        <v>7791</v>
      </c>
      <c r="C1711" s="3" t="s">
        <v>7792</v>
      </c>
      <c r="D1711" s="3" t="s">
        <v>338</v>
      </c>
      <c r="E1711" s="3" t="s">
        <v>338</v>
      </c>
      <c r="F1711" s="3" t="s">
        <v>7793</v>
      </c>
      <c r="G1711" s="3" t="s">
        <v>1306</v>
      </c>
      <c r="H1711" s="3" t="s">
        <v>7794</v>
      </c>
      <c r="I1711" s="3" t="s">
        <v>570</v>
      </c>
      <c r="J1711" s="3" t="s">
        <v>2516</v>
      </c>
      <c r="K1711" s="3" t="s">
        <v>70</v>
      </c>
      <c r="L1711" s="3" t="s">
        <v>71</v>
      </c>
      <c r="M1711" s="3" t="s">
        <v>0</v>
      </c>
      <c r="N1711" s="3" t="s">
        <v>0</v>
      </c>
      <c r="O1711" s="3">
        <v>15</v>
      </c>
      <c r="P1711" s="3">
        <v>15</v>
      </c>
      <c r="Q1711" s="3" t="s">
        <v>60</v>
      </c>
      <c r="R1711" s="3" t="s">
        <v>61</v>
      </c>
      <c r="S1711" s="3">
        <v>8</v>
      </c>
      <c r="T1711" s="3">
        <v>3</v>
      </c>
      <c r="U1711" s="3">
        <v>5</v>
      </c>
      <c r="V1711" s="3">
        <v>6</v>
      </c>
      <c r="W1711" s="3">
        <v>0</v>
      </c>
      <c r="X1711" s="3" t="s">
        <v>147</v>
      </c>
      <c r="Y1711" s="3">
        <v>0</v>
      </c>
      <c r="Z1711" s="3">
        <v>0</v>
      </c>
      <c r="AA1711" s="3">
        <v>0</v>
      </c>
      <c r="AB1711" s="3">
        <v>0</v>
      </c>
      <c r="AC1711" s="3">
        <v>0</v>
      </c>
      <c r="AD1711" s="3">
        <v>0</v>
      </c>
      <c r="AE1711" s="3">
        <v>14</v>
      </c>
      <c r="AF1711" s="3" t="s">
        <v>0</v>
      </c>
      <c r="AG1711" s="3" t="s">
        <v>49</v>
      </c>
    </row>
    <row r="1712" spans="1:33" x14ac:dyDescent="0.2">
      <c r="A1712" s="4" t="str">
        <f>HYPERLINK("http://www.patentics.cn/invokexml.do?sf=ShowPatent&amp;spn=CN101547038&amp;sv=17deeaf9f953731fc0deecb2403a31a4","CN101547038")</f>
        <v>CN101547038</v>
      </c>
      <c r="B1712" s="2" t="s">
        <v>7795</v>
      </c>
      <c r="C1712" s="2" t="s">
        <v>7796</v>
      </c>
      <c r="D1712" s="2" t="s">
        <v>38</v>
      </c>
      <c r="E1712" s="2" t="s">
        <v>38</v>
      </c>
      <c r="F1712" s="2" t="s">
        <v>7780</v>
      </c>
      <c r="G1712" s="2" t="s">
        <v>7780</v>
      </c>
      <c r="H1712" s="2" t="s">
        <v>4099</v>
      </c>
      <c r="I1712" s="2" t="s">
        <v>4099</v>
      </c>
      <c r="J1712" s="2" t="s">
        <v>2497</v>
      </c>
      <c r="K1712" s="2" t="s">
        <v>84</v>
      </c>
      <c r="L1712" s="2" t="s">
        <v>1922</v>
      </c>
      <c r="M1712" s="2" t="s">
        <v>0</v>
      </c>
      <c r="N1712" s="2" t="s">
        <v>0</v>
      </c>
      <c r="O1712" s="2">
        <v>5</v>
      </c>
      <c r="P1712" s="2">
        <v>21</v>
      </c>
      <c r="Q1712" s="2" t="s">
        <v>46</v>
      </c>
      <c r="R1712" s="2" t="s">
        <v>47</v>
      </c>
      <c r="S1712" s="2">
        <v>0</v>
      </c>
      <c r="T1712" s="2">
        <v>0</v>
      </c>
      <c r="U1712" s="2">
        <v>0</v>
      </c>
      <c r="V1712" s="2">
        <v>0</v>
      </c>
      <c r="W1712" s="2">
        <v>1</v>
      </c>
      <c r="X1712" s="2" t="s">
        <v>7247</v>
      </c>
      <c r="Y1712" s="2">
        <v>0</v>
      </c>
      <c r="Z1712" s="2">
        <v>1</v>
      </c>
      <c r="AA1712" s="2">
        <v>1</v>
      </c>
      <c r="AB1712" s="2">
        <v>1</v>
      </c>
      <c r="AC1712" s="2">
        <v>1</v>
      </c>
      <c r="AD1712" s="2">
        <v>1</v>
      </c>
      <c r="AE1712" s="2" t="s">
        <v>0</v>
      </c>
      <c r="AF1712" s="2">
        <v>1</v>
      </c>
      <c r="AG1712" s="2" t="s">
        <v>49</v>
      </c>
    </row>
    <row r="1713" spans="1:33" ht="63.75" x14ac:dyDescent="0.2">
      <c r="A1713" s="5" t="str">
        <f>HYPERLINK("http://www.patentics.cn/invokexml.do?sf=ShowPatent&amp;spn=CN102948123B&amp;sv=31b0de5ab60ebc7887cb55f8b103426e","CN102948123B")</f>
        <v>CN102948123B</v>
      </c>
      <c r="B1713" s="3" t="s">
        <v>7797</v>
      </c>
      <c r="C1713" s="3" t="s">
        <v>7798</v>
      </c>
      <c r="D1713" s="3" t="s">
        <v>338</v>
      </c>
      <c r="E1713" s="3" t="s">
        <v>338</v>
      </c>
      <c r="F1713" s="3" t="s">
        <v>7799</v>
      </c>
      <c r="G1713" s="3" t="s">
        <v>7800</v>
      </c>
      <c r="H1713" s="3" t="s">
        <v>926</v>
      </c>
      <c r="I1713" s="3" t="s">
        <v>7801</v>
      </c>
      <c r="J1713" s="3" t="s">
        <v>7802</v>
      </c>
      <c r="K1713" s="3" t="s">
        <v>58</v>
      </c>
      <c r="L1713" s="3" t="s">
        <v>326</v>
      </c>
      <c r="M1713" s="3" t="s">
        <v>0</v>
      </c>
      <c r="N1713" s="3" t="s">
        <v>0</v>
      </c>
      <c r="O1713" s="3">
        <v>57</v>
      </c>
      <c r="P1713" s="3">
        <v>13</v>
      </c>
      <c r="Q1713" s="3" t="s">
        <v>60</v>
      </c>
      <c r="R1713" s="3" t="s">
        <v>61</v>
      </c>
      <c r="S1713" s="3">
        <v>1</v>
      </c>
      <c r="T1713" s="3">
        <v>0</v>
      </c>
      <c r="U1713" s="3">
        <v>1</v>
      </c>
      <c r="V1713" s="3">
        <v>1</v>
      </c>
      <c r="W1713" s="3">
        <v>0</v>
      </c>
      <c r="X1713" s="3" t="s">
        <v>147</v>
      </c>
      <c r="Y1713" s="3">
        <v>0</v>
      </c>
      <c r="Z1713" s="3">
        <v>0</v>
      </c>
      <c r="AA1713" s="3">
        <v>0</v>
      </c>
      <c r="AB1713" s="3">
        <v>0</v>
      </c>
      <c r="AC1713" s="3">
        <v>0</v>
      </c>
      <c r="AD1713" s="3">
        <v>0</v>
      </c>
      <c r="AE1713" s="3">
        <v>14</v>
      </c>
      <c r="AF1713" s="3" t="s">
        <v>0</v>
      </c>
      <c r="AG1713" s="3" t="s">
        <v>49</v>
      </c>
    </row>
    <row r="1714" spans="1:33" ht="51" x14ac:dyDescent="0.2">
      <c r="A1714" s="4" t="str">
        <f>HYPERLINK("http://www.patentics.cn/invokexml.do?sf=ShowPatent&amp;spn=CN101540631&amp;sv=99f085dd77c0eb569fc39c2deaf36318","CN101540631")</f>
        <v>CN101540631</v>
      </c>
      <c r="B1714" s="2" t="s">
        <v>7803</v>
      </c>
      <c r="C1714" s="2" t="s">
        <v>7804</v>
      </c>
      <c r="D1714" s="2" t="s">
        <v>38</v>
      </c>
      <c r="E1714" s="2" t="s">
        <v>38</v>
      </c>
      <c r="F1714" s="2" t="s">
        <v>7805</v>
      </c>
      <c r="G1714" s="2" t="s">
        <v>7806</v>
      </c>
      <c r="H1714" s="2" t="s">
        <v>2865</v>
      </c>
      <c r="I1714" s="2" t="s">
        <v>2865</v>
      </c>
      <c r="J1714" s="2" t="s">
        <v>2866</v>
      </c>
      <c r="K1714" s="2" t="s">
        <v>84</v>
      </c>
      <c r="L1714" s="2" t="s">
        <v>343</v>
      </c>
      <c r="M1714" s="2" t="s">
        <v>0</v>
      </c>
      <c r="N1714" s="2" t="s">
        <v>0</v>
      </c>
      <c r="O1714" s="2">
        <v>14</v>
      </c>
      <c r="P1714" s="2">
        <v>13</v>
      </c>
      <c r="Q1714" s="2" t="s">
        <v>46</v>
      </c>
      <c r="R1714" s="2" t="s">
        <v>47</v>
      </c>
      <c r="S1714" s="2">
        <v>0</v>
      </c>
      <c r="T1714" s="2">
        <v>0</v>
      </c>
      <c r="U1714" s="2">
        <v>0</v>
      </c>
      <c r="V1714" s="2">
        <v>0</v>
      </c>
      <c r="W1714" s="2">
        <v>23</v>
      </c>
      <c r="X1714" s="2" t="s">
        <v>7807</v>
      </c>
      <c r="Y1714" s="2">
        <v>6</v>
      </c>
      <c r="Z1714" s="2">
        <v>17</v>
      </c>
      <c r="AA1714" s="2">
        <v>11</v>
      </c>
      <c r="AB1714" s="2">
        <v>4</v>
      </c>
      <c r="AC1714" s="2">
        <v>3</v>
      </c>
      <c r="AD1714" s="2">
        <v>3</v>
      </c>
      <c r="AE1714" s="2" t="s">
        <v>0</v>
      </c>
      <c r="AF1714" s="2">
        <v>1</v>
      </c>
      <c r="AG1714" s="2" t="s">
        <v>49</v>
      </c>
    </row>
    <row r="1715" spans="1:33" ht="51" x14ac:dyDescent="0.2">
      <c r="A1715" s="5" t="str">
        <f>HYPERLINK("http://www.patentics.cn/invokexml.do?sf=ShowPatent&amp;spn=US9148879&amp;sv=7f3ead8d3b75d47a94a21a9c725286ac","US9148879")</f>
        <v>US9148879</v>
      </c>
      <c r="B1715" s="3" t="s">
        <v>7081</v>
      </c>
      <c r="C1715" s="3" t="s">
        <v>7082</v>
      </c>
      <c r="D1715" s="3" t="s">
        <v>52</v>
      </c>
      <c r="E1715" s="3" t="s">
        <v>52</v>
      </c>
      <c r="F1715" s="3" t="s">
        <v>7083</v>
      </c>
      <c r="G1715" s="3" t="s">
        <v>6380</v>
      </c>
      <c r="H1715" s="3" t="s">
        <v>569</v>
      </c>
      <c r="I1715" s="3" t="s">
        <v>7084</v>
      </c>
      <c r="J1715" s="3" t="s">
        <v>248</v>
      </c>
      <c r="K1715" s="3" t="s">
        <v>82</v>
      </c>
      <c r="L1715" s="3" t="s">
        <v>244</v>
      </c>
      <c r="M1715" s="3" t="s">
        <v>82</v>
      </c>
      <c r="N1715" s="3" t="s">
        <v>1185</v>
      </c>
      <c r="O1715" s="3">
        <v>0</v>
      </c>
      <c r="P1715" s="3">
        <v>11</v>
      </c>
      <c r="Q1715" s="3" t="s">
        <v>60</v>
      </c>
      <c r="R1715" s="3" t="s">
        <v>47</v>
      </c>
      <c r="S1715" s="3">
        <v>28</v>
      </c>
      <c r="T1715" s="3">
        <v>1</v>
      </c>
      <c r="U1715" s="3">
        <v>27</v>
      </c>
      <c r="V1715" s="3">
        <v>10</v>
      </c>
      <c r="W1715" s="3">
        <v>8</v>
      </c>
      <c r="X1715" s="3" t="s">
        <v>147</v>
      </c>
      <c r="Y1715" s="3">
        <v>0</v>
      </c>
      <c r="Z1715" s="3">
        <v>8</v>
      </c>
      <c r="AA1715" s="3">
        <v>0</v>
      </c>
      <c r="AB1715" s="3">
        <v>1</v>
      </c>
      <c r="AC1715" s="3">
        <v>11</v>
      </c>
      <c r="AD1715" s="3">
        <v>4</v>
      </c>
      <c r="AE1715" s="3">
        <v>14</v>
      </c>
      <c r="AF1715" s="3" t="s">
        <v>0</v>
      </c>
      <c r="AG1715" s="3" t="s">
        <v>49</v>
      </c>
    </row>
    <row r="1716" spans="1:33" ht="38.25" x14ac:dyDescent="0.2">
      <c r="A1716" s="4" t="str">
        <f>HYPERLINK("http://www.patentics.cn/invokexml.do?sf=ShowPatent&amp;spn=CN101510867&amp;sv=bbfa3af42143abed338a0a1425166d89","CN101510867")</f>
        <v>CN101510867</v>
      </c>
      <c r="B1716" s="2" t="s">
        <v>7808</v>
      </c>
      <c r="C1716" s="2" t="s">
        <v>7809</v>
      </c>
      <c r="D1716" s="2" t="s">
        <v>38</v>
      </c>
      <c r="E1716" s="2" t="s">
        <v>38</v>
      </c>
      <c r="F1716" s="2" t="s">
        <v>7810</v>
      </c>
      <c r="G1716" s="2" t="s">
        <v>7678</v>
      </c>
      <c r="H1716" s="2" t="s">
        <v>0</v>
      </c>
      <c r="I1716" s="2" t="s">
        <v>1114</v>
      </c>
      <c r="J1716" s="2" t="s">
        <v>712</v>
      </c>
      <c r="K1716" s="2" t="s">
        <v>58</v>
      </c>
      <c r="L1716" s="2" t="s">
        <v>326</v>
      </c>
      <c r="M1716" s="2" t="s">
        <v>0</v>
      </c>
      <c r="N1716" s="2" t="s">
        <v>0</v>
      </c>
      <c r="O1716" s="2">
        <v>10</v>
      </c>
      <c r="P1716" s="2">
        <v>9</v>
      </c>
      <c r="Q1716" s="2" t="s">
        <v>46</v>
      </c>
      <c r="R1716" s="2" t="s">
        <v>47</v>
      </c>
      <c r="S1716" s="2">
        <v>0</v>
      </c>
      <c r="T1716" s="2">
        <v>0</v>
      </c>
      <c r="U1716" s="2">
        <v>0</v>
      </c>
      <c r="V1716" s="2">
        <v>0</v>
      </c>
      <c r="W1716" s="2">
        <v>4</v>
      </c>
      <c r="X1716" s="2" t="s">
        <v>7811</v>
      </c>
      <c r="Y1716" s="2">
        <v>0</v>
      </c>
      <c r="Z1716" s="2">
        <v>4</v>
      </c>
      <c r="AA1716" s="2">
        <v>3</v>
      </c>
      <c r="AB1716" s="2">
        <v>3</v>
      </c>
      <c r="AC1716" s="2">
        <v>0</v>
      </c>
      <c r="AD1716" s="2">
        <v>0</v>
      </c>
      <c r="AE1716" s="2" t="s">
        <v>0</v>
      </c>
      <c r="AF1716" s="2">
        <v>1</v>
      </c>
      <c r="AG1716" s="2" t="s">
        <v>547</v>
      </c>
    </row>
    <row r="1717" spans="1:33" ht="51" x14ac:dyDescent="0.2">
      <c r="A1717" s="5" t="str">
        <f>HYPERLINK("http://www.patentics.cn/invokexml.do?sf=ShowPatent&amp;spn=WO2014161200&amp;sv=ed65dd0b9830e2ae00994dc373ff1326","WO2014161200")</f>
        <v>WO2014161200</v>
      </c>
      <c r="B1717" s="3" t="s">
        <v>7258</v>
      </c>
      <c r="C1717" s="3" t="s">
        <v>7259</v>
      </c>
      <c r="D1717" s="3" t="s">
        <v>7250</v>
      </c>
      <c r="E1717" s="3" t="s">
        <v>7251</v>
      </c>
      <c r="F1717" s="3" t="s">
        <v>7252</v>
      </c>
      <c r="G1717" s="3" t="s">
        <v>2761</v>
      </c>
      <c r="H1717" s="3" t="s">
        <v>504</v>
      </c>
      <c r="I1717" s="3" t="s">
        <v>504</v>
      </c>
      <c r="J1717" s="3" t="s">
        <v>3344</v>
      </c>
      <c r="K1717" s="3" t="s">
        <v>82</v>
      </c>
      <c r="L1717" s="3" t="s">
        <v>1310</v>
      </c>
      <c r="M1717" s="3" t="s">
        <v>0</v>
      </c>
      <c r="N1717" s="3" t="s">
        <v>0</v>
      </c>
      <c r="O1717" s="3">
        <v>40</v>
      </c>
      <c r="P1717" s="3">
        <v>11</v>
      </c>
      <c r="Q1717" s="3" t="s">
        <v>352</v>
      </c>
      <c r="R1717" s="3" t="s">
        <v>47</v>
      </c>
      <c r="S1717" s="3">
        <v>3</v>
      </c>
      <c r="T1717" s="3">
        <v>0</v>
      </c>
      <c r="U1717" s="3">
        <v>3</v>
      </c>
      <c r="V1717" s="3">
        <v>1</v>
      </c>
      <c r="W1717" s="3">
        <v>0</v>
      </c>
      <c r="X1717" s="3" t="s">
        <v>147</v>
      </c>
      <c r="Y1717" s="3">
        <v>0</v>
      </c>
      <c r="Z1717" s="3">
        <v>0</v>
      </c>
      <c r="AA1717" s="3">
        <v>0</v>
      </c>
      <c r="AB1717" s="3">
        <v>0</v>
      </c>
      <c r="AC1717" s="3">
        <v>5</v>
      </c>
      <c r="AD1717" s="3">
        <v>5</v>
      </c>
      <c r="AE1717" s="3">
        <v>14</v>
      </c>
      <c r="AF1717" s="3" t="s">
        <v>0</v>
      </c>
      <c r="AG1717" s="3" t="s">
        <v>0</v>
      </c>
    </row>
    <row r="1718" spans="1:33" ht="38.25" x14ac:dyDescent="0.2">
      <c r="A1718" s="4" t="str">
        <f>HYPERLINK("http://www.patentics.cn/invokexml.do?sf=ShowPatent&amp;spn=CN101489255&amp;sv=079d9631c6e965f783c805596cb08b1e","CN101489255")</f>
        <v>CN101489255</v>
      </c>
      <c r="B1718" s="2" t="s">
        <v>7812</v>
      </c>
      <c r="C1718" s="2" t="s">
        <v>7813</v>
      </c>
      <c r="D1718" s="2" t="s">
        <v>38</v>
      </c>
      <c r="E1718" s="2" t="s">
        <v>38</v>
      </c>
      <c r="F1718" s="2" t="s">
        <v>7814</v>
      </c>
      <c r="G1718" s="2" t="s">
        <v>7678</v>
      </c>
      <c r="H1718" s="2" t="s">
        <v>0</v>
      </c>
      <c r="I1718" s="2" t="s">
        <v>7815</v>
      </c>
      <c r="J1718" s="2" t="s">
        <v>3579</v>
      </c>
      <c r="K1718" s="2" t="s">
        <v>82</v>
      </c>
      <c r="L1718" s="2" t="s">
        <v>3795</v>
      </c>
      <c r="M1718" s="2" t="s">
        <v>0</v>
      </c>
      <c r="N1718" s="2" t="s">
        <v>0</v>
      </c>
      <c r="O1718" s="2">
        <v>10</v>
      </c>
      <c r="P1718" s="2">
        <v>27</v>
      </c>
      <c r="Q1718" s="2" t="s">
        <v>46</v>
      </c>
      <c r="R1718" s="2" t="s">
        <v>47</v>
      </c>
      <c r="S1718" s="2">
        <v>0</v>
      </c>
      <c r="T1718" s="2">
        <v>0</v>
      </c>
      <c r="U1718" s="2">
        <v>0</v>
      </c>
      <c r="V1718" s="2">
        <v>0</v>
      </c>
      <c r="W1718" s="2">
        <v>34</v>
      </c>
      <c r="X1718" s="2" t="s">
        <v>7816</v>
      </c>
      <c r="Y1718" s="2">
        <v>4</v>
      </c>
      <c r="Z1718" s="2">
        <v>30</v>
      </c>
      <c r="AA1718" s="2">
        <v>11</v>
      </c>
      <c r="AB1718" s="2">
        <v>5</v>
      </c>
      <c r="AC1718" s="2">
        <v>0</v>
      </c>
      <c r="AD1718" s="2">
        <v>0</v>
      </c>
      <c r="AE1718" s="2" t="s">
        <v>0</v>
      </c>
      <c r="AF1718" s="2">
        <v>1</v>
      </c>
      <c r="AG1718" s="2" t="s">
        <v>49</v>
      </c>
    </row>
    <row r="1719" spans="1:33" ht="89.25" x14ac:dyDescent="0.2">
      <c r="A1719" s="5" t="str">
        <f>HYPERLINK("http://www.patentics.cn/invokexml.do?sf=ShowPatent&amp;spn=WO2015024215&amp;sv=f850512bd6fbae0790a577a7cef34ead","WO2015024215")</f>
        <v>WO2015024215</v>
      </c>
      <c r="B1719" s="3" t="s">
        <v>7817</v>
      </c>
      <c r="C1719" s="3" t="s">
        <v>7818</v>
      </c>
      <c r="D1719" s="3" t="s">
        <v>7819</v>
      </c>
      <c r="E1719" s="3" t="s">
        <v>7820</v>
      </c>
      <c r="F1719" s="3" t="s">
        <v>7821</v>
      </c>
      <c r="G1719" s="3" t="s">
        <v>2579</v>
      </c>
      <c r="H1719" s="3" t="s">
        <v>7541</v>
      </c>
      <c r="I1719" s="3" t="s">
        <v>7541</v>
      </c>
      <c r="J1719" s="3" t="s">
        <v>7822</v>
      </c>
      <c r="K1719" s="3" t="s">
        <v>82</v>
      </c>
      <c r="L1719" s="3" t="s">
        <v>244</v>
      </c>
      <c r="M1719" s="3" t="s">
        <v>0</v>
      </c>
      <c r="N1719" s="3" t="s">
        <v>0</v>
      </c>
      <c r="O1719" s="3">
        <v>14</v>
      </c>
      <c r="P1719" s="3">
        <v>15</v>
      </c>
      <c r="Q1719" s="3" t="s">
        <v>352</v>
      </c>
      <c r="R1719" s="3" t="s">
        <v>47</v>
      </c>
      <c r="S1719" s="3">
        <v>4</v>
      </c>
      <c r="T1719" s="3">
        <v>0</v>
      </c>
      <c r="U1719" s="3">
        <v>4</v>
      </c>
      <c r="V1719" s="3">
        <v>3</v>
      </c>
      <c r="W1719" s="3">
        <v>8</v>
      </c>
      <c r="X1719" s="3" t="s">
        <v>147</v>
      </c>
      <c r="Y1719" s="3">
        <v>0</v>
      </c>
      <c r="Z1719" s="3">
        <v>8</v>
      </c>
      <c r="AA1719" s="3">
        <v>0</v>
      </c>
      <c r="AB1719" s="3">
        <v>1</v>
      </c>
      <c r="AC1719" s="3">
        <v>6</v>
      </c>
      <c r="AD1719" s="3">
        <v>6</v>
      </c>
      <c r="AE1719" s="3">
        <v>14</v>
      </c>
      <c r="AF1719" s="3" t="s">
        <v>0</v>
      </c>
      <c r="AG1719" s="3" t="s">
        <v>0</v>
      </c>
    </row>
    <row r="1720" spans="1:33" ht="25.5" x14ac:dyDescent="0.2">
      <c r="A1720" s="4" t="str">
        <f>HYPERLINK("http://www.patentics.cn/invokexml.do?sf=ShowPatent&amp;spn=CN101482796&amp;sv=dd2c873c392b5bf4c1a0e6a36cad8890","CN101482796")</f>
        <v>CN101482796</v>
      </c>
      <c r="B1720" s="2" t="s">
        <v>7823</v>
      </c>
      <c r="C1720" s="2" t="s">
        <v>7824</v>
      </c>
      <c r="D1720" s="2" t="s">
        <v>38</v>
      </c>
      <c r="E1720" s="2" t="s">
        <v>38</v>
      </c>
      <c r="F1720" s="2" t="s">
        <v>7825</v>
      </c>
      <c r="G1720" s="2" t="s">
        <v>7826</v>
      </c>
      <c r="H1720" s="2" t="s">
        <v>7827</v>
      </c>
      <c r="I1720" s="2" t="s">
        <v>7827</v>
      </c>
      <c r="J1720" s="2" t="s">
        <v>2295</v>
      </c>
      <c r="K1720" s="2" t="s">
        <v>555</v>
      </c>
      <c r="L1720" s="2" t="s">
        <v>7828</v>
      </c>
      <c r="M1720" s="2" t="s">
        <v>0</v>
      </c>
      <c r="N1720" s="2" t="s">
        <v>0</v>
      </c>
      <c r="O1720" s="2">
        <v>10</v>
      </c>
      <c r="P1720" s="2">
        <v>14</v>
      </c>
      <c r="Q1720" s="2" t="s">
        <v>46</v>
      </c>
      <c r="R1720" s="2" t="s">
        <v>47</v>
      </c>
      <c r="S1720" s="2">
        <v>0</v>
      </c>
      <c r="T1720" s="2">
        <v>0</v>
      </c>
      <c r="U1720" s="2">
        <v>0</v>
      </c>
      <c r="V1720" s="2">
        <v>0</v>
      </c>
      <c r="W1720" s="2">
        <v>14</v>
      </c>
      <c r="X1720" s="2" t="s">
        <v>7829</v>
      </c>
      <c r="Y1720" s="2">
        <v>3</v>
      </c>
      <c r="Z1720" s="2">
        <v>11</v>
      </c>
      <c r="AA1720" s="2">
        <v>6</v>
      </c>
      <c r="AB1720" s="2">
        <v>3</v>
      </c>
      <c r="AC1720" s="2">
        <v>1</v>
      </c>
      <c r="AD1720" s="2">
        <v>1</v>
      </c>
      <c r="AE1720" s="2" t="s">
        <v>0</v>
      </c>
      <c r="AF1720" s="2">
        <v>1</v>
      </c>
      <c r="AG1720" s="2" t="s">
        <v>49</v>
      </c>
    </row>
    <row r="1721" spans="1:33" ht="51" x14ac:dyDescent="0.2">
      <c r="A1721" s="5" t="str">
        <f>HYPERLINK("http://www.patentics.cn/invokexml.do?sf=ShowPatent&amp;spn=CN102483679B&amp;sv=3a4648044ee9bc97e8b371114cc0039f","CN102483679B")</f>
        <v>CN102483679B</v>
      </c>
      <c r="B1721" s="3" t="s">
        <v>7830</v>
      </c>
      <c r="C1721" s="3" t="s">
        <v>7831</v>
      </c>
      <c r="D1721" s="3" t="s">
        <v>338</v>
      </c>
      <c r="E1721" s="3" t="s">
        <v>338</v>
      </c>
      <c r="F1721" s="3" t="s">
        <v>7832</v>
      </c>
      <c r="G1721" s="3" t="s">
        <v>7833</v>
      </c>
      <c r="H1721" s="3" t="s">
        <v>7834</v>
      </c>
      <c r="I1721" s="3" t="s">
        <v>7835</v>
      </c>
      <c r="J1721" s="3" t="s">
        <v>7836</v>
      </c>
      <c r="K1721" s="3" t="s">
        <v>555</v>
      </c>
      <c r="L1721" s="3" t="s">
        <v>7837</v>
      </c>
      <c r="M1721" s="3" t="s">
        <v>0</v>
      </c>
      <c r="N1721" s="3" t="s">
        <v>0</v>
      </c>
      <c r="O1721" s="3">
        <v>16</v>
      </c>
      <c r="P1721" s="3">
        <v>19</v>
      </c>
      <c r="Q1721" s="3" t="s">
        <v>60</v>
      </c>
      <c r="R1721" s="3" t="s">
        <v>61</v>
      </c>
      <c r="S1721" s="3">
        <v>5</v>
      </c>
      <c r="T1721" s="3">
        <v>0</v>
      </c>
      <c r="U1721" s="3">
        <v>5</v>
      </c>
      <c r="V1721" s="3">
        <v>5</v>
      </c>
      <c r="W1721" s="3">
        <v>0</v>
      </c>
      <c r="X1721" s="3" t="s">
        <v>147</v>
      </c>
      <c r="Y1721" s="3">
        <v>0</v>
      </c>
      <c r="Z1721" s="3">
        <v>0</v>
      </c>
      <c r="AA1721" s="3">
        <v>0</v>
      </c>
      <c r="AB1721" s="3">
        <v>0</v>
      </c>
      <c r="AC1721" s="3">
        <v>5</v>
      </c>
      <c r="AD1721" s="3">
        <v>5</v>
      </c>
      <c r="AE1721" s="3">
        <v>14</v>
      </c>
      <c r="AF1721" s="3" t="s">
        <v>0</v>
      </c>
      <c r="AG1721" s="3" t="s">
        <v>49</v>
      </c>
    </row>
    <row r="1722" spans="1:33" x14ac:dyDescent="0.2">
      <c r="A1722" s="4" t="str">
        <f>HYPERLINK("http://www.patentics.cn/invokexml.do?sf=ShowPatent&amp;spn=CN101478741&amp;sv=6e14920aeee6398f8270e1c39d0c1203","CN101478741")</f>
        <v>CN101478741</v>
      </c>
      <c r="B1722" s="2" t="s">
        <v>7838</v>
      </c>
      <c r="C1722" s="2" t="s">
        <v>7839</v>
      </c>
      <c r="D1722" s="2" t="s">
        <v>38</v>
      </c>
      <c r="E1722" s="2" t="s">
        <v>38</v>
      </c>
      <c r="F1722" s="2" t="s">
        <v>7840</v>
      </c>
      <c r="G1722" s="2" t="s">
        <v>7840</v>
      </c>
      <c r="H1722" s="2" t="s">
        <v>3232</v>
      </c>
      <c r="I1722" s="2" t="s">
        <v>3232</v>
      </c>
      <c r="J1722" s="2" t="s">
        <v>2456</v>
      </c>
      <c r="K1722" s="2" t="s">
        <v>82</v>
      </c>
      <c r="L1722" s="2" t="s">
        <v>1405</v>
      </c>
      <c r="M1722" s="2" t="s">
        <v>0</v>
      </c>
      <c r="N1722" s="2" t="s">
        <v>0</v>
      </c>
      <c r="O1722" s="2">
        <v>10</v>
      </c>
      <c r="P1722" s="2">
        <v>21</v>
      </c>
      <c r="Q1722" s="2" t="s">
        <v>46</v>
      </c>
      <c r="R1722" s="2" t="s">
        <v>47</v>
      </c>
      <c r="S1722" s="2">
        <v>0</v>
      </c>
      <c r="T1722" s="2">
        <v>0</v>
      </c>
      <c r="U1722" s="2">
        <v>0</v>
      </c>
      <c r="V1722" s="2">
        <v>0</v>
      </c>
      <c r="W1722" s="2">
        <v>7</v>
      </c>
      <c r="X1722" s="2" t="s">
        <v>7841</v>
      </c>
      <c r="Y1722" s="2">
        <v>6</v>
      </c>
      <c r="Z1722" s="2">
        <v>1</v>
      </c>
      <c r="AA1722" s="2">
        <v>2</v>
      </c>
      <c r="AB1722" s="2">
        <v>4</v>
      </c>
      <c r="AC1722" s="2">
        <v>1</v>
      </c>
      <c r="AD1722" s="2">
        <v>1</v>
      </c>
      <c r="AE1722" s="2" t="s">
        <v>0</v>
      </c>
      <c r="AF1722" s="2">
        <v>1</v>
      </c>
      <c r="AG1722" s="2" t="s">
        <v>49</v>
      </c>
    </row>
    <row r="1723" spans="1:33" ht="38.25" x14ac:dyDescent="0.2">
      <c r="A1723" s="5" t="str">
        <f>HYPERLINK("http://www.patentics.cn/invokexml.do?sf=ShowPatent&amp;spn=WO2012149682&amp;sv=09c6b6c57525343804af4e5d892f5432","WO2012149682")</f>
        <v>WO2012149682</v>
      </c>
      <c r="B1723" s="3" t="s">
        <v>7842</v>
      </c>
      <c r="C1723" s="3" t="s">
        <v>7843</v>
      </c>
      <c r="D1723" s="3" t="s">
        <v>7844</v>
      </c>
      <c r="E1723" s="3" t="s">
        <v>7845</v>
      </c>
      <c r="F1723" s="3" t="s">
        <v>7846</v>
      </c>
      <c r="G1723" s="3" t="s">
        <v>7847</v>
      </c>
      <c r="H1723" s="3" t="s">
        <v>2881</v>
      </c>
      <c r="I1723" s="3" t="s">
        <v>2881</v>
      </c>
      <c r="J1723" s="3" t="s">
        <v>4426</v>
      </c>
      <c r="K1723" s="3" t="s">
        <v>82</v>
      </c>
      <c r="L1723" s="3" t="s">
        <v>1405</v>
      </c>
      <c r="M1723" s="3" t="s">
        <v>0</v>
      </c>
      <c r="N1723" s="3" t="s">
        <v>0</v>
      </c>
      <c r="O1723" s="3">
        <v>42</v>
      </c>
      <c r="P1723" s="3">
        <v>5</v>
      </c>
      <c r="Q1723" s="3" t="s">
        <v>352</v>
      </c>
      <c r="R1723" s="3" t="s">
        <v>47</v>
      </c>
      <c r="S1723" s="3">
        <v>3</v>
      </c>
      <c r="T1723" s="3">
        <v>0</v>
      </c>
      <c r="U1723" s="3">
        <v>3</v>
      </c>
      <c r="V1723" s="3">
        <v>3</v>
      </c>
      <c r="W1723" s="3">
        <v>0</v>
      </c>
      <c r="X1723" s="3" t="s">
        <v>147</v>
      </c>
      <c r="Y1723" s="3">
        <v>0</v>
      </c>
      <c r="Z1723" s="3">
        <v>0</v>
      </c>
      <c r="AA1723" s="3">
        <v>0</v>
      </c>
      <c r="AB1723" s="3">
        <v>0</v>
      </c>
      <c r="AC1723" s="3">
        <v>1</v>
      </c>
      <c r="AD1723" s="3">
        <v>2</v>
      </c>
      <c r="AE1723" s="3">
        <v>14</v>
      </c>
      <c r="AF1723" s="3" t="s">
        <v>0</v>
      </c>
      <c r="AG1723" s="3" t="s">
        <v>0</v>
      </c>
    </row>
    <row r="1724" spans="1:33" ht="51" x14ac:dyDescent="0.2">
      <c r="A1724" s="4" t="str">
        <f>HYPERLINK("http://www.patentics.cn/invokexml.do?sf=ShowPatent&amp;spn=CN101459490&amp;sv=7698189c5c4230fc00913f0bb82e9060","CN101459490")</f>
        <v>CN101459490</v>
      </c>
      <c r="B1724" s="2" t="s">
        <v>7848</v>
      </c>
      <c r="C1724" s="2" t="s">
        <v>7849</v>
      </c>
      <c r="D1724" s="2" t="s">
        <v>38</v>
      </c>
      <c r="E1724" s="2" t="s">
        <v>38</v>
      </c>
      <c r="F1724" s="2" t="s">
        <v>7850</v>
      </c>
      <c r="G1724" s="2" t="s">
        <v>3792</v>
      </c>
      <c r="H1724" s="2" t="s">
        <v>4056</v>
      </c>
      <c r="I1724" s="2" t="s">
        <v>1167</v>
      </c>
      <c r="J1724" s="2" t="s">
        <v>1008</v>
      </c>
      <c r="K1724" s="2" t="s">
        <v>58</v>
      </c>
      <c r="L1724" s="2" t="s">
        <v>613</v>
      </c>
      <c r="M1724" s="2" t="s">
        <v>0</v>
      </c>
      <c r="N1724" s="2" t="s">
        <v>0</v>
      </c>
      <c r="O1724" s="2">
        <v>16</v>
      </c>
      <c r="P1724" s="2">
        <v>17</v>
      </c>
      <c r="Q1724" s="2" t="s">
        <v>46</v>
      </c>
      <c r="R1724" s="2" t="s">
        <v>47</v>
      </c>
      <c r="S1724" s="2">
        <v>0</v>
      </c>
      <c r="T1724" s="2">
        <v>0</v>
      </c>
      <c r="U1724" s="2">
        <v>0</v>
      </c>
      <c r="V1724" s="2">
        <v>0</v>
      </c>
      <c r="W1724" s="2">
        <v>1</v>
      </c>
      <c r="X1724" s="2" t="s">
        <v>5030</v>
      </c>
      <c r="Y1724" s="2">
        <v>0</v>
      </c>
      <c r="Z1724" s="2">
        <v>1</v>
      </c>
      <c r="AA1724" s="2">
        <v>1</v>
      </c>
      <c r="AB1724" s="2">
        <v>1</v>
      </c>
      <c r="AC1724" s="2">
        <v>1</v>
      </c>
      <c r="AD1724" s="2">
        <v>1</v>
      </c>
      <c r="AE1724" s="2" t="s">
        <v>0</v>
      </c>
      <c r="AF1724" s="2">
        <v>1</v>
      </c>
      <c r="AG1724" s="2" t="s">
        <v>49</v>
      </c>
    </row>
    <row r="1725" spans="1:33" ht="102" x14ac:dyDescent="0.2">
      <c r="A1725" s="5" t="str">
        <f>HYPERLINK("http://www.patentics.cn/invokexml.do?sf=ShowPatent&amp;spn=CN103201976B&amp;sv=391db365dddef81376d748b947f53138","CN103201976B")</f>
        <v>CN103201976B</v>
      </c>
      <c r="B1725" s="3" t="s">
        <v>7851</v>
      </c>
      <c r="C1725" s="3" t="s">
        <v>7852</v>
      </c>
      <c r="D1725" s="3" t="s">
        <v>338</v>
      </c>
      <c r="E1725" s="3" t="s">
        <v>338</v>
      </c>
      <c r="F1725" s="3" t="s">
        <v>7853</v>
      </c>
      <c r="G1725" s="3" t="s">
        <v>7854</v>
      </c>
      <c r="H1725" s="3" t="s">
        <v>5383</v>
      </c>
      <c r="I1725" s="3" t="s">
        <v>7855</v>
      </c>
      <c r="J1725" s="3" t="s">
        <v>7856</v>
      </c>
      <c r="K1725" s="3" t="s">
        <v>58</v>
      </c>
      <c r="L1725" s="3" t="s">
        <v>613</v>
      </c>
      <c r="M1725" s="3" t="s">
        <v>0</v>
      </c>
      <c r="N1725" s="3" t="s">
        <v>0</v>
      </c>
      <c r="O1725" s="3">
        <v>17</v>
      </c>
      <c r="P1725" s="3">
        <v>13</v>
      </c>
      <c r="Q1725" s="3" t="s">
        <v>60</v>
      </c>
      <c r="R1725" s="3" t="s">
        <v>61</v>
      </c>
      <c r="S1725" s="3">
        <v>2</v>
      </c>
      <c r="T1725" s="3">
        <v>0</v>
      </c>
      <c r="U1725" s="3">
        <v>2</v>
      </c>
      <c r="V1725" s="3">
        <v>2</v>
      </c>
      <c r="W1725" s="3">
        <v>0</v>
      </c>
      <c r="X1725" s="3" t="s">
        <v>147</v>
      </c>
      <c r="Y1725" s="3">
        <v>0</v>
      </c>
      <c r="Z1725" s="3">
        <v>0</v>
      </c>
      <c r="AA1725" s="3">
        <v>0</v>
      </c>
      <c r="AB1725" s="3">
        <v>0</v>
      </c>
      <c r="AC1725" s="3">
        <v>0</v>
      </c>
      <c r="AD1725" s="3">
        <v>0</v>
      </c>
      <c r="AE1725" s="3">
        <v>14</v>
      </c>
      <c r="AF1725" s="3" t="s">
        <v>0</v>
      </c>
      <c r="AG1725" s="3" t="s">
        <v>49</v>
      </c>
    </row>
    <row r="1726" spans="1:33" ht="25.5" x14ac:dyDescent="0.2">
      <c r="A1726" s="4" t="str">
        <f>HYPERLINK("http://www.patentics.cn/invokexml.do?sf=ShowPatent&amp;spn=CN101420266&amp;sv=b5fedd9ef396cc64a21f9fc2c63374d1","CN101420266")</f>
        <v>CN101420266</v>
      </c>
      <c r="B1726" s="2" t="s">
        <v>7857</v>
      </c>
      <c r="C1726" s="2" t="s">
        <v>7858</v>
      </c>
      <c r="D1726" s="2" t="s">
        <v>38</v>
      </c>
      <c r="E1726" s="2" t="s">
        <v>38</v>
      </c>
      <c r="F1726" s="2" t="s">
        <v>7859</v>
      </c>
      <c r="G1726" s="2" t="s">
        <v>7860</v>
      </c>
      <c r="H1726" s="2" t="s">
        <v>1361</v>
      </c>
      <c r="I1726" s="2" t="s">
        <v>1361</v>
      </c>
      <c r="J1726" s="2" t="s">
        <v>1138</v>
      </c>
      <c r="K1726" s="2" t="s">
        <v>84</v>
      </c>
      <c r="L1726" s="2" t="s">
        <v>1922</v>
      </c>
      <c r="M1726" s="2" t="s">
        <v>0</v>
      </c>
      <c r="N1726" s="2" t="s">
        <v>0</v>
      </c>
      <c r="O1726" s="2">
        <v>9</v>
      </c>
      <c r="P1726" s="2">
        <v>15</v>
      </c>
      <c r="Q1726" s="2" t="s">
        <v>46</v>
      </c>
      <c r="R1726" s="2" t="s">
        <v>47</v>
      </c>
      <c r="S1726" s="2">
        <v>0</v>
      </c>
      <c r="T1726" s="2">
        <v>0</v>
      </c>
      <c r="U1726" s="2">
        <v>0</v>
      </c>
      <c r="V1726" s="2">
        <v>0</v>
      </c>
      <c r="W1726" s="2">
        <v>4</v>
      </c>
      <c r="X1726" s="2" t="s">
        <v>7861</v>
      </c>
      <c r="Y1726" s="2">
        <v>1</v>
      </c>
      <c r="Z1726" s="2">
        <v>3</v>
      </c>
      <c r="AA1726" s="2">
        <v>3</v>
      </c>
      <c r="AB1726" s="2">
        <v>2</v>
      </c>
      <c r="AC1726" s="2">
        <v>1</v>
      </c>
      <c r="AD1726" s="2">
        <v>1</v>
      </c>
      <c r="AE1726" s="2" t="s">
        <v>0</v>
      </c>
      <c r="AF1726" s="2">
        <v>1</v>
      </c>
      <c r="AG1726" s="2" t="s">
        <v>49</v>
      </c>
    </row>
    <row r="1727" spans="1:33" ht="25.5" x14ac:dyDescent="0.2">
      <c r="A1727" s="5" t="str">
        <f>HYPERLINK("http://www.patentics.cn/invokexml.do?sf=ShowPatent&amp;spn=CN102415195B&amp;sv=c4cd2b99cfc1a1980ac3ee53c1d28a63","CN102415195B")</f>
        <v>CN102415195B</v>
      </c>
      <c r="B1727" s="3" t="s">
        <v>7862</v>
      </c>
      <c r="C1727" s="3" t="s">
        <v>7863</v>
      </c>
      <c r="D1727" s="3" t="s">
        <v>338</v>
      </c>
      <c r="E1727" s="3" t="s">
        <v>338</v>
      </c>
      <c r="F1727" s="3" t="s">
        <v>7864</v>
      </c>
      <c r="G1727" s="3" t="s">
        <v>1190</v>
      </c>
      <c r="H1727" s="3" t="s">
        <v>6845</v>
      </c>
      <c r="I1727" s="3" t="s">
        <v>3738</v>
      </c>
      <c r="J1727" s="3" t="s">
        <v>7865</v>
      </c>
      <c r="K1727" s="3" t="s">
        <v>82</v>
      </c>
      <c r="L1727" s="3" t="s">
        <v>997</v>
      </c>
      <c r="M1727" s="3" t="s">
        <v>0</v>
      </c>
      <c r="N1727" s="3" t="s">
        <v>0</v>
      </c>
      <c r="O1727" s="3">
        <v>42</v>
      </c>
      <c r="P1727" s="3">
        <v>8</v>
      </c>
      <c r="Q1727" s="3" t="s">
        <v>60</v>
      </c>
      <c r="R1727" s="3" t="s">
        <v>61</v>
      </c>
      <c r="S1727" s="3">
        <v>4</v>
      </c>
      <c r="T1727" s="3">
        <v>1</v>
      </c>
      <c r="U1727" s="3">
        <v>3</v>
      </c>
      <c r="V1727" s="3">
        <v>3</v>
      </c>
      <c r="W1727" s="3">
        <v>8</v>
      </c>
      <c r="X1727" s="3" t="s">
        <v>147</v>
      </c>
      <c r="Y1727" s="3">
        <v>0</v>
      </c>
      <c r="Z1727" s="3">
        <v>8</v>
      </c>
      <c r="AA1727" s="3">
        <v>0</v>
      </c>
      <c r="AB1727" s="3">
        <v>1</v>
      </c>
      <c r="AC1727" s="3">
        <v>0</v>
      </c>
      <c r="AD1727" s="3">
        <v>0</v>
      </c>
      <c r="AE1727" s="3">
        <v>14</v>
      </c>
      <c r="AF1727" s="3" t="s">
        <v>0</v>
      </c>
      <c r="AG1727" s="3" t="s">
        <v>49</v>
      </c>
    </row>
    <row r="1728" spans="1:33" ht="51" x14ac:dyDescent="0.2">
      <c r="A1728" s="4" t="str">
        <f>HYPERLINK("http://www.patentics.cn/invokexml.do?sf=ShowPatent&amp;spn=CN101404539&amp;sv=7f522dc5e35798f7b17d614cb76fc1b2","CN101404539")</f>
        <v>CN101404539</v>
      </c>
      <c r="B1728" s="2" t="s">
        <v>7866</v>
      </c>
      <c r="C1728" s="2" t="s">
        <v>7867</v>
      </c>
      <c r="D1728" s="2" t="s">
        <v>38</v>
      </c>
      <c r="E1728" s="2" t="s">
        <v>38</v>
      </c>
      <c r="F1728" s="2" t="s">
        <v>7868</v>
      </c>
      <c r="G1728" s="2" t="s">
        <v>7718</v>
      </c>
      <c r="H1728" s="2" t="s">
        <v>0</v>
      </c>
      <c r="I1728" s="2" t="s">
        <v>4388</v>
      </c>
      <c r="J1728" s="2" t="s">
        <v>5343</v>
      </c>
      <c r="K1728" s="2" t="s">
        <v>84</v>
      </c>
      <c r="L1728" s="2" t="s">
        <v>1922</v>
      </c>
      <c r="M1728" s="2" t="s">
        <v>0</v>
      </c>
      <c r="N1728" s="2" t="s">
        <v>0</v>
      </c>
      <c r="O1728" s="2">
        <v>9</v>
      </c>
      <c r="P1728" s="2">
        <v>14</v>
      </c>
      <c r="Q1728" s="2" t="s">
        <v>46</v>
      </c>
      <c r="R1728" s="2" t="s">
        <v>47</v>
      </c>
      <c r="S1728" s="2">
        <v>0</v>
      </c>
      <c r="T1728" s="2">
        <v>0</v>
      </c>
      <c r="U1728" s="2">
        <v>0</v>
      </c>
      <c r="V1728" s="2">
        <v>0</v>
      </c>
      <c r="W1728" s="2">
        <v>36</v>
      </c>
      <c r="X1728" s="2" t="s">
        <v>7869</v>
      </c>
      <c r="Y1728" s="2">
        <v>13</v>
      </c>
      <c r="Z1728" s="2">
        <v>23</v>
      </c>
      <c r="AA1728" s="2">
        <v>9</v>
      </c>
      <c r="AB1728" s="2">
        <v>3</v>
      </c>
      <c r="AC1728" s="2">
        <v>0</v>
      </c>
      <c r="AD1728" s="2">
        <v>0</v>
      </c>
      <c r="AE1728" s="2" t="s">
        <v>0</v>
      </c>
      <c r="AF1728" s="2">
        <v>1</v>
      </c>
      <c r="AG1728" s="2" t="s">
        <v>547</v>
      </c>
    </row>
    <row r="1729" spans="1:33" ht="76.5" x14ac:dyDescent="0.2">
      <c r="A1729" s="5" t="str">
        <f>HYPERLINK("http://www.patentics.cn/invokexml.do?sf=ShowPatent&amp;spn=CN102415193B&amp;sv=b95cf7be4aea521a03b0186aab5d3c89","CN102415193B")</f>
        <v>CN102415193B</v>
      </c>
      <c r="B1729" s="3" t="s">
        <v>7870</v>
      </c>
      <c r="C1729" s="3" t="s">
        <v>7871</v>
      </c>
      <c r="D1729" s="3" t="s">
        <v>338</v>
      </c>
      <c r="E1729" s="3" t="s">
        <v>338</v>
      </c>
      <c r="F1729" s="3" t="s">
        <v>7872</v>
      </c>
      <c r="G1729" s="3" t="s">
        <v>5109</v>
      </c>
      <c r="H1729" s="3" t="s">
        <v>7873</v>
      </c>
      <c r="I1729" s="3" t="s">
        <v>2152</v>
      </c>
      <c r="J1729" s="3" t="s">
        <v>3091</v>
      </c>
      <c r="K1729" s="3" t="s">
        <v>82</v>
      </c>
      <c r="L1729" s="3" t="s">
        <v>997</v>
      </c>
      <c r="M1729" s="3" t="s">
        <v>0</v>
      </c>
      <c r="N1729" s="3" t="s">
        <v>0</v>
      </c>
      <c r="O1729" s="3">
        <v>24</v>
      </c>
      <c r="P1729" s="3">
        <v>14</v>
      </c>
      <c r="Q1729" s="3" t="s">
        <v>60</v>
      </c>
      <c r="R1729" s="3" t="s">
        <v>61</v>
      </c>
      <c r="S1729" s="3">
        <v>2</v>
      </c>
      <c r="T1729" s="3">
        <v>0</v>
      </c>
      <c r="U1729" s="3">
        <v>2</v>
      </c>
      <c r="V1729" s="3">
        <v>2</v>
      </c>
      <c r="W1729" s="3">
        <v>8</v>
      </c>
      <c r="X1729" s="3" t="s">
        <v>147</v>
      </c>
      <c r="Y1729" s="3">
        <v>0</v>
      </c>
      <c r="Z1729" s="3">
        <v>8</v>
      </c>
      <c r="AA1729" s="3">
        <v>0</v>
      </c>
      <c r="AB1729" s="3">
        <v>1</v>
      </c>
      <c r="AC1729" s="3">
        <v>24</v>
      </c>
      <c r="AD1729" s="3">
        <v>9</v>
      </c>
      <c r="AE1729" s="3">
        <v>14</v>
      </c>
      <c r="AF1729" s="3" t="s">
        <v>0</v>
      </c>
      <c r="AG1729" s="3" t="s">
        <v>49</v>
      </c>
    </row>
    <row r="1730" spans="1:33" ht="25.5" x14ac:dyDescent="0.2">
      <c r="A1730" s="4" t="str">
        <f>HYPERLINK("http://www.patentics.cn/invokexml.do?sf=ShowPatent&amp;spn=CN101394636&amp;sv=9a9b7fc8c2bd2d5f3817751bf3537c57","CN101394636")</f>
        <v>CN101394636</v>
      </c>
      <c r="B1730" s="2" t="s">
        <v>7874</v>
      </c>
      <c r="C1730" s="2" t="s">
        <v>7875</v>
      </c>
      <c r="D1730" s="2" t="s">
        <v>38</v>
      </c>
      <c r="E1730" s="2" t="s">
        <v>38</v>
      </c>
      <c r="F1730" s="2" t="s">
        <v>2058</v>
      </c>
      <c r="G1730" s="2" t="s">
        <v>2059</v>
      </c>
      <c r="H1730" s="2" t="s">
        <v>1261</v>
      </c>
      <c r="I1730" s="2" t="s">
        <v>1261</v>
      </c>
      <c r="J1730" s="2" t="s">
        <v>4100</v>
      </c>
      <c r="K1730" s="2" t="s">
        <v>43</v>
      </c>
      <c r="L1730" s="2" t="s">
        <v>2062</v>
      </c>
      <c r="M1730" s="2" t="s">
        <v>0</v>
      </c>
      <c r="N1730" s="2" t="s">
        <v>0</v>
      </c>
      <c r="O1730" s="2">
        <v>7</v>
      </c>
      <c r="P1730" s="2">
        <v>26</v>
      </c>
      <c r="Q1730" s="2" t="s">
        <v>46</v>
      </c>
      <c r="R1730" s="2" t="s">
        <v>47</v>
      </c>
      <c r="S1730" s="2">
        <v>0</v>
      </c>
      <c r="T1730" s="2">
        <v>0</v>
      </c>
      <c r="U1730" s="2">
        <v>0</v>
      </c>
      <c r="V1730" s="2">
        <v>0</v>
      </c>
      <c r="W1730" s="2">
        <v>5</v>
      </c>
      <c r="X1730" s="2" t="s">
        <v>7876</v>
      </c>
      <c r="Y1730" s="2">
        <v>3</v>
      </c>
      <c r="Z1730" s="2">
        <v>2</v>
      </c>
      <c r="AA1730" s="2">
        <v>3</v>
      </c>
      <c r="AB1730" s="2">
        <v>3</v>
      </c>
      <c r="AC1730" s="2">
        <v>5</v>
      </c>
      <c r="AD1730" s="2">
        <v>4</v>
      </c>
      <c r="AE1730" s="2" t="s">
        <v>0</v>
      </c>
      <c r="AF1730" s="2">
        <v>1</v>
      </c>
      <c r="AG1730" s="2" t="s">
        <v>547</v>
      </c>
    </row>
    <row r="1731" spans="1:33" ht="89.25" x14ac:dyDescent="0.2">
      <c r="A1731" s="5" t="str">
        <f>HYPERLINK("http://www.patentics.cn/invokexml.do?sf=ShowPatent&amp;spn=US9236929&amp;sv=ae0c7423fcb9b6a484605041deee553c","US9236929")</f>
        <v>US9236929</v>
      </c>
      <c r="B1731" s="3" t="s">
        <v>3956</v>
      </c>
      <c r="C1731" s="3" t="s">
        <v>3949</v>
      </c>
      <c r="D1731" s="3" t="s">
        <v>52</v>
      </c>
      <c r="E1731" s="3" t="s">
        <v>52</v>
      </c>
      <c r="F1731" s="3" t="s">
        <v>3950</v>
      </c>
      <c r="G1731" s="3" t="s">
        <v>3951</v>
      </c>
      <c r="H1731" s="3" t="s">
        <v>3952</v>
      </c>
      <c r="I1731" s="3" t="s">
        <v>3957</v>
      </c>
      <c r="J1731" s="3" t="s">
        <v>623</v>
      </c>
      <c r="K1731" s="3" t="s">
        <v>84</v>
      </c>
      <c r="L1731" s="3" t="s">
        <v>3954</v>
      </c>
      <c r="M1731" s="3" t="s">
        <v>84</v>
      </c>
      <c r="N1731" s="3" t="s">
        <v>3955</v>
      </c>
      <c r="O1731" s="3">
        <v>0</v>
      </c>
      <c r="P1731" s="3">
        <v>8</v>
      </c>
      <c r="Q1731" s="3" t="s">
        <v>60</v>
      </c>
      <c r="R1731" s="3" t="s">
        <v>61</v>
      </c>
      <c r="S1731" s="3">
        <v>62</v>
      </c>
      <c r="T1731" s="3">
        <v>11</v>
      </c>
      <c r="U1731" s="3">
        <v>51</v>
      </c>
      <c r="V1731" s="3">
        <v>26</v>
      </c>
      <c r="W1731" s="3">
        <v>1</v>
      </c>
      <c r="X1731" s="3" t="s">
        <v>108</v>
      </c>
      <c r="Y1731" s="3">
        <v>0</v>
      </c>
      <c r="Z1731" s="3">
        <v>1</v>
      </c>
      <c r="AA1731" s="3">
        <v>1</v>
      </c>
      <c r="AB1731" s="3">
        <v>1</v>
      </c>
      <c r="AC1731" s="3">
        <v>12</v>
      </c>
      <c r="AD1731" s="3">
        <v>6</v>
      </c>
      <c r="AE1731" s="3">
        <v>14</v>
      </c>
      <c r="AF1731" s="3" t="s">
        <v>0</v>
      </c>
      <c r="AG1731" s="3" t="s">
        <v>49</v>
      </c>
    </row>
    <row r="1732" spans="1:33" ht="38.25" x14ac:dyDescent="0.2">
      <c r="A1732" s="4" t="str">
        <f>HYPERLINK("http://www.patentics.cn/invokexml.do?sf=ShowPatent&amp;spn=CN101388748&amp;sv=b94e3836abca84fa26780d5963eb173f","CN101388748")</f>
        <v>CN101388748</v>
      </c>
      <c r="B1732" s="2" t="s">
        <v>7877</v>
      </c>
      <c r="C1732" s="2" t="s">
        <v>7878</v>
      </c>
      <c r="D1732" s="2" t="s">
        <v>38</v>
      </c>
      <c r="E1732" s="2" t="s">
        <v>38</v>
      </c>
      <c r="F1732" s="2" t="s">
        <v>7879</v>
      </c>
      <c r="G1732" s="2" t="s">
        <v>3792</v>
      </c>
      <c r="H1732" s="2" t="s">
        <v>7880</v>
      </c>
      <c r="I1732" s="2" t="s">
        <v>7880</v>
      </c>
      <c r="J1732" s="2" t="s">
        <v>7881</v>
      </c>
      <c r="K1732" s="2" t="s">
        <v>58</v>
      </c>
      <c r="L1732" s="2" t="s">
        <v>613</v>
      </c>
      <c r="M1732" s="2" t="s">
        <v>0</v>
      </c>
      <c r="N1732" s="2" t="s">
        <v>0</v>
      </c>
      <c r="O1732" s="2">
        <v>13</v>
      </c>
      <c r="P1732" s="2">
        <v>16</v>
      </c>
      <c r="Q1732" s="2" t="s">
        <v>46</v>
      </c>
      <c r="R1732" s="2" t="s">
        <v>47</v>
      </c>
      <c r="S1732" s="2">
        <v>0</v>
      </c>
      <c r="T1732" s="2">
        <v>0</v>
      </c>
      <c r="U1732" s="2">
        <v>0</v>
      </c>
      <c r="V1732" s="2">
        <v>0</v>
      </c>
      <c r="W1732" s="2">
        <v>6</v>
      </c>
      <c r="X1732" s="2" t="s">
        <v>7882</v>
      </c>
      <c r="Y1732" s="2">
        <v>1</v>
      </c>
      <c r="Z1732" s="2">
        <v>5</v>
      </c>
      <c r="AA1732" s="2">
        <v>5</v>
      </c>
      <c r="AB1732" s="2">
        <v>2</v>
      </c>
      <c r="AC1732" s="2">
        <v>1</v>
      </c>
      <c r="AD1732" s="2">
        <v>1</v>
      </c>
      <c r="AE1732" s="2" t="s">
        <v>0</v>
      </c>
      <c r="AF1732" s="2">
        <v>1</v>
      </c>
      <c r="AG1732" s="2" t="s">
        <v>49</v>
      </c>
    </row>
    <row r="1733" spans="1:33" ht="25.5" x14ac:dyDescent="0.2">
      <c r="A1733" s="5" t="str">
        <f>HYPERLINK("http://www.patentics.cn/invokexml.do?sf=ShowPatent&amp;spn=CN102415195B&amp;sv=c4cd2b99cfc1a1980ac3ee53c1d28a63","CN102415195B")</f>
        <v>CN102415195B</v>
      </c>
      <c r="B1733" s="3" t="s">
        <v>7862</v>
      </c>
      <c r="C1733" s="3" t="s">
        <v>7863</v>
      </c>
      <c r="D1733" s="3" t="s">
        <v>338</v>
      </c>
      <c r="E1733" s="3" t="s">
        <v>338</v>
      </c>
      <c r="F1733" s="3" t="s">
        <v>7864</v>
      </c>
      <c r="G1733" s="3" t="s">
        <v>1190</v>
      </c>
      <c r="H1733" s="3" t="s">
        <v>6845</v>
      </c>
      <c r="I1733" s="3" t="s">
        <v>3738</v>
      </c>
      <c r="J1733" s="3" t="s">
        <v>7865</v>
      </c>
      <c r="K1733" s="3" t="s">
        <v>82</v>
      </c>
      <c r="L1733" s="3" t="s">
        <v>997</v>
      </c>
      <c r="M1733" s="3" t="s">
        <v>0</v>
      </c>
      <c r="N1733" s="3" t="s">
        <v>0</v>
      </c>
      <c r="O1733" s="3">
        <v>42</v>
      </c>
      <c r="P1733" s="3">
        <v>8</v>
      </c>
      <c r="Q1733" s="3" t="s">
        <v>60</v>
      </c>
      <c r="R1733" s="3" t="s">
        <v>61</v>
      </c>
      <c r="S1733" s="3">
        <v>4</v>
      </c>
      <c r="T1733" s="3">
        <v>1</v>
      </c>
      <c r="U1733" s="3">
        <v>3</v>
      </c>
      <c r="V1733" s="3">
        <v>3</v>
      </c>
      <c r="W1733" s="3">
        <v>8</v>
      </c>
      <c r="X1733" s="3" t="s">
        <v>147</v>
      </c>
      <c r="Y1733" s="3">
        <v>0</v>
      </c>
      <c r="Z1733" s="3">
        <v>8</v>
      </c>
      <c r="AA1733" s="3">
        <v>0</v>
      </c>
      <c r="AB1733" s="3">
        <v>1</v>
      </c>
      <c r="AC1733" s="3">
        <v>0</v>
      </c>
      <c r="AD1733" s="3">
        <v>0</v>
      </c>
      <c r="AE1733" s="3">
        <v>14</v>
      </c>
      <c r="AF1733" s="3" t="s">
        <v>0</v>
      </c>
      <c r="AG1733" s="3" t="s">
        <v>49</v>
      </c>
    </row>
    <row r="1734" spans="1:33" ht="38.25" x14ac:dyDescent="0.2">
      <c r="A1734" s="4" t="str">
        <f>HYPERLINK("http://www.patentics.cn/invokexml.do?sf=ShowPatent&amp;spn=CN101378283&amp;sv=89321c3d2a300a9f7a90ddb9e1ce6e84","CN101378283")</f>
        <v>CN101378283</v>
      </c>
      <c r="B1734" s="2" t="s">
        <v>7883</v>
      </c>
      <c r="C1734" s="2" t="s">
        <v>7884</v>
      </c>
      <c r="D1734" s="2" t="s">
        <v>38</v>
      </c>
      <c r="E1734" s="2" t="s">
        <v>38</v>
      </c>
      <c r="F1734" s="2" t="s">
        <v>7885</v>
      </c>
      <c r="G1734" s="2" t="s">
        <v>5209</v>
      </c>
      <c r="H1734" s="2" t="s">
        <v>0</v>
      </c>
      <c r="I1734" s="2" t="s">
        <v>3690</v>
      </c>
      <c r="J1734" s="2" t="s">
        <v>1587</v>
      </c>
      <c r="K1734" s="2" t="s">
        <v>84</v>
      </c>
      <c r="L1734" s="2" t="s">
        <v>343</v>
      </c>
      <c r="M1734" s="2" t="s">
        <v>0</v>
      </c>
      <c r="N1734" s="2" t="s">
        <v>0</v>
      </c>
      <c r="O1734" s="2">
        <v>14</v>
      </c>
      <c r="P1734" s="2">
        <v>10</v>
      </c>
      <c r="Q1734" s="2" t="s">
        <v>46</v>
      </c>
      <c r="R1734" s="2" t="s">
        <v>47</v>
      </c>
      <c r="S1734" s="2">
        <v>0</v>
      </c>
      <c r="T1734" s="2">
        <v>0</v>
      </c>
      <c r="U1734" s="2">
        <v>0</v>
      </c>
      <c r="V1734" s="2">
        <v>0</v>
      </c>
      <c r="W1734" s="2">
        <v>1</v>
      </c>
      <c r="X1734" s="2" t="s">
        <v>7247</v>
      </c>
      <c r="Y1734" s="2">
        <v>0</v>
      </c>
      <c r="Z1734" s="2">
        <v>1</v>
      </c>
      <c r="AA1734" s="2">
        <v>1</v>
      </c>
      <c r="AB1734" s="2">
        <v>1</v>
      </c>
      <c r="AC1734" s="2">
        <v>0</v>
      </c>
      <c r="AD1734" s="2">
        <v>0</v>
      </c>
      <c r="AE1734" s="2" t="s">
        <v>0</v>
      </c>
      <c r="AF1734" s="2">
        <v>1</v>
      </c>
      <c r="AG1734" s="2" t="s">
        <v>2523</v>
      </c>
    </row>
    <row r="1735" spans="1:33" ht="25.5" x14ac:dyDescent="0.2">
      <c r="A1735" s="5" t="str">
        <f>HYPERLINK("http://www.patentics.cn/invokexml.do?sf=ShowPatent&amp;spn=CN102804633B&amp;sv=07555f79d67d219efa9a0c0180e21309","CN102804633B")</f>
        <v>CN102804633B</v>
      </c>
      <c r="B1735" s="3" t="s">
        <v>7886</v>
      </c>
      <c r="C1735" s="3" t="s">
        <v>7887</v>
      </c>
      <c r="D1735" s="3" t="s">
        <v>338</v>
      </c>
      <c r="E1735" s="3" t="s">
        <v>338</v>
      </c>
      <c r="F1735" s="3" t="s">
        <v>7888</v>
      </c>
      <c r="G1735" s="3" t="s">
        <v>1306</v>
      </c>
      <c r="H1735" s="3" t="s">
        <v>3773</v>
      </c>
      <c r="I1735" s="3" t="s">
        <v>2423</v>
      </c>
      <c r="J1735" s="3" t="s">
        <v>7889</v>
      </c>
      <c r="K1735" s="3" t="s">
        <v>84</v>
      </c>
      <c r="L1735" s="3" t="s">
        <v>401</v>
      </c>
      <c r="M1735" s="3" t="s">
        <v>0</v>
      </c>
      <c r="N1735" s="3" t="s">
        <v>0</v>
      </c>
      <c r="O1735" s="3">
        <v>24</v>
      </c>
      <c r="P1735" s="3">
        <v>12</v>
      </c>
      <c r="Q1735" s="3" t="s">
        <v>60</v>
      </c>
      <c r="R1735" s="3" t="s">
        <v>61</v>
      </c>
      <c r="S1735" s="3">
        <v>1</v>
      </c>
      <c r="T1735" s="3">
        <v>0</v>
      </c>
      <c r="U1735" s="3">
        <v>1</v>
      </c>
      <c r="V1735" s="3">
        <v>1</v>
      </c>
      <c r="W1735" s="3">
        <v>0</v>
      </c>
      <c r="X1735" s="3" t="s">
        <v>147</v>
      </c>
      <c r="Y1735" s="3">
        <v>0</v>
      </c>
      <c r="Z1735" s="3">
        <v>0</v>
      </c>
      <c r="AA1735" s="3">
        <v>0</v>
      </c>
      <c r="AB1735" s="3">
        <v>0</v>
      </c>
      <c r="AC1735" s="3">
        <v>0</v>
      </c>
      <c r="AD1735" s="3">
        <v>0</v>
      </c>
      <c r="AE1735" s="3">
        <v>14</v>
      </c>
      <c r="AF1735" s="3" t="s">
        <v>0</v>
      </c>
      <c r="AG1735" s="3" t="s">
        <v>49</v>
      </c>
    </row>
    <row r="1736" spans="1:33" ht="25.5" x14ac:dyDescent="0.2">
      <c r="A1736" s="4" t="str">
        <f>HYPERLINK("http://www.patentics.cn/invokexml.do?sf=ShowPatent&amp;spn=CN101378299&amp;sv=7ece123d127142259ea96f17fe8968fb","CN101378299")</f>
        <v>CN101378299</v>
      </c>
      <c r="B1736" s="2" t="s">
        <v>7890</v>
      </c>
      <c r="C1736" s="2" t="s">
        <v>7891</v>
      </c>
      <c r="D1736" s="2" t="s">
        <v>38</v>
      </c>
      <c r="E1736" s="2" t="s">
        <v>38</v>
      </c>
      <c r="F1736" s="2" t="s">
        <v>7892</v>
      </c>
      <c r="G1736" s="2" t="s">
        <v>5209</v>
      </c>
      <c r="H1736" s="2" t="s">
        <v>7893</v>
      </c>
      <c r="I1736" s="2" t="s">
        <v>7893</v>
      </c>
      <c r="J1736" s="2" t="s">
        <v>1587</v>
      </c>
      <c r="K1736" s="2" t="s">
        <v>58</v>
      </c>
      <c r="L1736" s="2" t="s">
        <v>249</v>
      </c>
      <c r="M1736" s="2" t="s">
        <v>0</v>
      </c>
      <c r="N1736" s="2" t="s">
        <v>0</v>
      </c>
      <c r="O1736" s="2">
        <v>6</v>
      </c>
      <c r="P1736" s="2">
        <v>18</v>
      </c>
      <c r="Q1736" s="2" t="s">
        <v>46</v>
      </c>
      <c r="R1736" s="2" t="s">
        <v>47</v>
      </c>
      <c r="S1736" s="2">
        <v>0</v>
      </c>
      <c r="T1736" s="2">
        <v>0</v>
      </c>
      <c r="U1736" s="2">
        <v>0</v>
      </c>
      <c r="V1736" s="2">
        <v>0</v>
      </c>
      <c r="W1736" s="2">
        <v>10</v>
      </c>
      <c r="X1736" s="2" t="s">
        <v>7894</v>
      </c>
      <c r="Y1736" s="2">
        <v>0</v>
      </c>
      <c r="Z1736" s="2">
        <v>10</v>
      </c>
      <c r="AA1736" s="2">
        <v>4</v>
      </c>
      <c r="AB1736" s="2">
        <v>3</v>
      </c>
      <c r="AC1736" s="2">
        <v>1</v>
      </c>
      <c r="AD1736" s="2">
        <v>1</v>
      </c>
      <c r="AE1736" s="2" t="s">
        <v>0</v>
      </c>
      <c r="AF1736" s="2">
        <v>1</v>
      </c>
      <c r="AG1736" s="2" t="s">
        <v>49</v>
      </c>
    </row>
    <row r="1737" spans="1:33" ht="38.25" x14ac:dyDescent="0.2">
      <c r="A1737" s="5" t="str">
        <f>HYPERLINK("http://www.patentics.cn/invokexml.do?sf=ShowPatent&amp;spn=WO2014169594&amp;sv=7fe812a20d5643c87bb4daeac2f963e0","WO2014169594")</f>
        <v>WO2014169594</v>
      </c>
      <c r="B1737" s="3" t="s">
        <v>7279</v>
      </c>
      <c r="C1737" s="3" t="s">
        <v>7280</v>
      </c>
      <c r="D1737" s="3" t="s">
        <v>7281</v>
      </c>
      <c r="E1737" s="3" t="s">
        <v>7282</v>
      </c>
      <c r="F1737" s="3" t="s">
        <v>7283</v>
      </c>
      <c r="G1737" s="3" t="s">
        <v>2579</v>
      </c>
      <c r="H1737" s="3" t="s">
        <v>7053</v>
      </c>
      <c r="I1737" s="3" t="s">
        <v>7284</v>
      </c>
      <c r="J1737" s="3" t="s">
        <v>7055</v>
      </c>
      <c r="K1737" s="3" t="s">
        <v>84</v>
      </c>
      <c r="L1737" s="3" t="s">
        <v>506</v>
      </c>
      <c r="M1737" s="3" t="s">
        <v>0</v>
      </c>
      <c r="N1737" s="3" t="s">
        <v>0</v>
      </c>
      <c r="O1737" s="3">
        <v>40</v>
      </c>
      <c r="P1737" s="3">
        <v>12</v>
      </c>
      <c r="Q1737" s="3" t="s">
        <v>352</v>
      </c>
      <c r="R1737" s="3" t="s">
        <v>47</v>
      </c>
      <c r="S1737" s="3">
        <v>4</v>
      </c>
      <c r="T1737" s="3">
        <v>0</v>
      </c>
      <c r="U1737" s="3">
        <v>4</v>
      </c>
      <c r="V1737" s="3">
        <v>3</v>
      </c>
      <c r="W1737" s="3">
        <v>8</v>
      </c>
      <c r="X1737" s="3" t="s">
        <v>147</v>
      </c>
      <c r="Y1737" s="3">
        <v>0</v>
      </c>
      <c r="Z1737" s="3">
        <v>8</v>
      </c>
      <c r="AA1737" s="3">
        <v>0</v>
      </c>
      <c r="AB1737" s="3">
        <v>1</v>
      </c>
      <c r="AC1737" s="3">
        <v>2</v>
      </c>
      <c r="AD1737" s="3">
        <v>2</v>
      </c>
      <c r="AE1737" s="3">
        <v>14</v>
      </c>
      <c r="AF1737" s="3" t="s">
        <v>0</v>
      </c>
      <c r="AG1737" s="3" t="s">
        <v>0</v>
      </c>
    </row>
    <row r="1738" spans="1:33" ht="51" x14ac:dyDescent="0.2">
      <c r="A1738" s="4" t="str">
        <f>HYPERLINK("http://www.patentics.cn/invokexml.do?sf=ShowPatent&amp;spn=CN101373996&amp;sv=a5e46f9283f25990dfd608740b7470a7","CN101373996")</f>
        <v>CN101373996</v>
      </c>
      <c r="B1738" s="2" t="s">
        <v>7895</v>
      </c>
      <c r="C1738" s="2" t="s">
        <v>7896</v>
      </c>
      <c r="D1738" s="2" t="s">
        <v>38</v>
      </c>
      <c r="E1738" s="2" t="s">
        <v>38</v>
      </c>
      <c r="F1738" s="2" t="s">
        <v>7897</v>
      </c>
      <c r="G1738" s="2" t="s">
        <v>7898</v>
      </c>
      <c r="H1738" s="2" t="s">
        <v>7899</v>
      </c>
      <c r="I1738" s="2" t="s">
        <v>7899</v>
      </c>
      <c r="J1738" s="2" t="s">
        <v>3857</v>
      </c>
      <c r="K1738" s="2" t="s">
        <v>84</v>
      </c>
      <c r="L1738" s="2" t="s">
        <v>537</v>
      </c>
      <c r="M1738" s="2" t="s">
        <v>0</v>
      </c>
      <c r="N1738" s="2" t="s">
        <v>0</v>
      </c>
      <c r="O1738" s="2">
        <v>12</v>
      </c>
      <c r="P1738" s="2">
        <v>16</v>
      </c>
      <c r="Q1738" s="2" t="s">
        <v>46</v>
      </c>
      <c r="R1738" s="2" t="s">
        <v>47</v>
      </c>
      <c r="S1738" s="2">
        <v>0</v>
      </c>
      <c r="T1738" s="2">
        <v>0</v>
      </c>
      <c r="U1738" s="2">
        <v>0</v>
      </c>
      <c r="V1738" s="2">
        <v>0</v>
      </c>
      <c r="W1738" s="2">
        <v>1</v>
      </c>
      <c r="X1738" s="2" t="s">
        <v>74</v>
      </c>
      <c r="Y1738" s="2">
        <v>0</v>
      </c>
      <c r="Z1738" s="2">
        <v>1</v>
      </c>
      <c r="AA1738" s="2">
        <v>1</v>
      </c>
      <c r="AB1738" s="2">
        <v>1</v>
      </c>
      <c r="AC1738" s="2">
        <v>1</v>
      </c>
      <c r="AD1738" s="2">
        <v>1</v>
      </c>
      <c r="AE1738" s="2" t="s">
        <v>0</v>
      </c>
      <c r="AF1738" s="2">
        <v>1</v>
      </c>
      <c r="AG1738" s="2" t="s">
        <v>49</v>
      </c>
    </row>
    <row r="1739" spans="1:33" ht="51" x14ac:dyDescent="0.2">
      <c r="A1739" s="5" t="str">
        <f>HYPERLINK("http://www.patentics.cn/invokexml.do?sf=ShowPatent&amp;spn=US9113467&amp;sv=3e359eb8a31310ef883575e6396d7f18","US9113467")</f>
        <v>US9113467</v>
      </c>
      <c r="B1739" s="3" t="s">
        <v>7900</v>
      </c>
      <c r="C1739" s="3" t="s">
        <v>7901</v>
      </c>
      <c r="D1739" s="3" t="s">
        <v>52</v>
      </c>
      <c r="E1739" s="3" t="s">
        <v>52</v>
      </c>
      <c r="F1739" s="3" t="s">
        <v>4441</v>
      </c>
      <c r="G1739" s="3" t="s">
        <v>3572</v>
      </c>
      <c r="H1739" s="3" t="s">
        <v>4480</v>
      </c>
      <c r="I1739" s="3" t="s">
        <v>4480</v>
      </c>
      <c r="J1739" s="3" t="s">
        <v>2440</v>
      </c>
      <c r="K1739" s="3" t="s">
        <v>82</v>
      </c>
      <c r="L1739" s="3" t="s">
        <v>83</v>
      </c>
      <c r="M1739" s="3" t="s">
        <v>0</v>
      </c>
      <c r="N1739" s="3" t="s">
        <v>0</v>
      </c>
      <c r="O1739" s="3">
        <v>0</v>
      </c>
      <c r="P1739" s="3">
        <v>11</v>
      </c>
      <c r="Q1739" s="3" t="s">
        <v>60</v>
      </c>
      <c r="R1739" s="3" t="s">
        <v>61</v>
      </c>
      <c r="S1739" s="3">
        <v>24</v>
      </c>
      <c r="T1739" s="3">
        <v>2</v>
      </c>
      <c r="U1739" s="3">
        <v>22</v>
      </c>
      <c r="V1739" s="3">
        <v>14</v>
      </c>
      <c r="W1739" s="3">
        <v>0</v>
      </c>
      <c r="X1739" s="3" t="s">
        <v>147</v>
      </c>
      <c r="Y1739" s="3">
        <v>0</v>
      </c>
      <c r="Z1739" s="3">
        <v>0</v>
      </c>
      <c r="AA1739" s="3">
        <v>0</v>
      </c>
      <c r="AB1739" s="3">
        <v>0</v>
      </c>
      <c r="AC1739" s="3">
        <v>3</v>
      </c>
      <c r="AD1739" s="3">
        <v>3</v>
      </c>
      <c r="AE1739" s="3">
        <v>14</v>
      </c>
      <c r="AF1739" s="3" t="s">
        <v>0</v>
      </c>
      <c r="AG1739" s="3" t="s">
        <v>49</v>
      </c>
    </row>
    <row r="1740" spans="1:33" ht="25.5" x14ac:dyDescent="0.2">
      <c r="A1740" s="4" t="str">
        <f>HYPERLINK("http://www.patentics.cn/invokexml.do?sf=ShowPatent&amp;spn=CN101370255&amp;sv=9452b3b97e136afbec16ba87f4c4d45d","CN101370255")</f>
        <v>CN101370255</v>
      </c>
      <c r="B1740" s="2" t="s">
        <v>7902</v>
      </c>
      <c r="C1740" s="2" t="s">
        <v>7903</v>
      </c>
      <c r="D1740" s="2" t="s">
        <v>38</v>
      </c>
      <c r="E1740" s="2" t="s">
        <v>38</v>
      </c>
      <c r="F1740" s="2" t="s">
        <v>7904</v>
      </c>
      <c r="G1740" s="2" t="s">
        <v>7904</v>
      </c>
      <c r="H1740" s="2" t="s">
        <v>7905</v>
      </c>
      <c r="I1740" s="2" t="s">
        <v>7905</v>
      </c>
      <c r="J1740" s="2" t="s">
        <v>302</v>
      </c>
      <c r="K1740" s="2" t="s">
        <v>43</v>
      </c>
      <c r="L1740" s="2" t="s">
        <v>2591</v>
      </c>
      <c r="M1740" s="2" t="s">
        <v>0</v>
      </c>
      <c r="N1740" s="2" t="s">
        <v>0</v>
      </c>
      <c r="O1740" s="2">
        <v>5</v>
      </c>
      <c r="P1740" s="2">
        <v>10</v>
      </c>
      <c r="Q1740" s="2" t="s">
        <v>46</v>
      </c>
      <c r="R1740" s="2" t="s">
        <v>47</v>
      </c>
      <c r="S1740" s="2">
        <v>0</v>
      </c>
      <c r="T1740" s="2">
        <v>0</v>
      </c>
      <c r="U1740" s="2">
        <v>0</v>
      </c>
      <c r="V1740" s="2">
        <v>0</v>
      </c>
      <c r="W1740" s="2">
        <v>3</v>
      </c>
      <c r="X1740" s="2" t="s">
        <v>7906</v>
      </c>
      <c r="Y1740" s="2">
        <v>1</v>
      </c>
      <c r="Z1740" s="2">
        <v>2</v>
      </c>
      <c r="AA1740" s="2">
        <v>3</v>
      </c>
      <c r="AB1740" s="2">
        <v>3</v>
      </c>
      <c r="AC1740" s="2">
        <v>1</v>
      </c>
      <c r="AD1740" s="2">
        <v>1</v>
      </c>
      <c r="AE1740" s="2" t="s">
        <v>0</v>
      </c>
      <c r="AF1740" s="2">
        <v>1</v>
      </c>
      <c r="AG1740" s="2" t="s">
        <v>49</v>
      </c>
    </row>
    <row r="1741" spans="1:33" ht="102" x14ac:dyDescent="0.2">
      <c r="A1741" s="5" t="str">
        <f>HYPERLINK("http://www.patentics.cn/invokexml.do?sf=ShowPatent&amp;spn=US8902800&amp;sv=59a7d8a23c3fc72566d2b9086be2b3e2","US8902800")</f>
        <v>US8902800</v>
      </c>
      <c r="B1741" s="3" t="s">
        <v>7907</v>
      </c>
      <c r="C1741" s="3" t="s">
        <v>7908</v>
      </c>
      <c r="D1741" s="3" t="s">
        <v>52</v>
      </c>
      <c r="E1741" s="3" t="s">
        <v>52</v>
      </c>
      <c r="F1741" s="3" t="s">
        <v>7909</v>
      </c>
      <c r="G1741" s="3" t="s">
        <v>66</v>
      </c>
      <c r="H1741" s="3" t="s">
        <v>3222</v>
      </c>
      <c r="I1741" s="3" t="s">
        <v>3222</v>
      </c>
      <c r="J1741" s="3" t="s">
        <v>1842</v>
      </c>
      <c r="K1741" s="3" t="s">
        <v>457</v>
      </c>
      <c r="L1741" s="3" t="s">
        <v>458</v>
      </c>
      <c r="M1741" s="3" t="s">
        <v>82</v>
      </c>
      <c r="N1741" s="3" t="s">
        <v>7910</v>
      </c>
      <c r="O1741" s="3">
        <v>0</v>
      </c>
      <c r="P1741" s="3">
        <v>22</v>
      </c>
      <c r="Q1741" s="3" t="s">
        <v>60</v>
      </c>
      <c r="R1741" s="3" t="s">
        <v>61</v>
      </c>
      <c r="S1741" s="3">
        <v>27</v>
      </c>
      <c r="T1741" s="3">
        <v>7</v>
      </c>
      <c r="U1741" s="3">
        <v>20</v>
      </c>
      <c r="V1741" s="3">
        <v>13</v>
      </c>
      <c r="W1741" s="3">
        <v>0</v>
      </c>
      <c r="X1741" s="3" t="s">
        <v>147</v>
      </c>
      <c r="Y1741" s="3">
        <v>0</v>
      </c>
      <c r="Z1741" s="3">
        <v>0</v>
      </c>
      <c r="AA1741" s="3">
        <v>0</v>
      </c>
      <c r="AB1741" s="3">
        <v>0</v>
      </c>
      <c r="AC1741" s="3">
        <v>10</v>
      </c>
      <c r="AD1741" s="3">
        <v>7</v>
      </c>
      <c r="AE1741" s="3">
        <v>14</v>
      </c>
      <c r="AF1741" s="3" t="s">
        <v>0</v>
      </c>
      <c r="AG1741" s="3" t="s">
        <v>49</v>
      </c>
    </row>
    <row r="1742" spans="1:33" ht="25.5" x14ac:dyDescent="0.2">
      <c r="A1742" s="4" t="str">
        <f>HYPERLINK("http://www.patentics.cn/invokexml.do?sf=ShowPatent&amp;spn=CN101365172&amp;sv=fb09afcc85eb71a7a54e64662fcbbd8c","CN101365172")</f>
        <v>CN101365172</v>
      </c>
      <c r="B1742" s="2" t="s">
        <v>7911</v>
      </c>
      <c r="C1742" s="2" t="s">
        <v>7912</v>
      </c>
      <c r="D1742" s="2" t="s">
        <v>38</v>
      </c>
      <c r="E1742" s="2" t="s">
        <v>38</v>
      </c>
      <c r="F1742" s="2" t="s">
        <v>7913</v>
      </c>
      <c r="G1742" s="2" t="s">
        <v>7860</v>
      </c>
      <c r="H1742" s="2" t="s">
        <v>5763</v>
      </c>
      <c r="I1742" s="2" t="s">
        <v>5763</v>
      </c>
      <c r="J1742" s="2" t="s">
        <v>7827</v>
      </c>
      <c r="K1742" s="2" t="s">
        <v>43</v>
      </c>
      <c r="L1742" s="2" t="s">
        <v>1588</v>
      </c>
      <c r="M1742" s="2" t="s">
        <v>0</v>
      </c>
      <c r="N1742" s="2" t="s">
        <v>0</v>
      </c>
      <c r="O1742" s="2">
        <v>3</v>
      </c>
      <c r="P1742" s="2">
        <v>11</v>
      </c>
      <c r="Q1742" s="2" t="s">
        <v>46</v>
      </c>
      <c r="R1742" s="2" t="s">
        <v>47</v>
      </c>
      <c r="S1742" s="2">
        <v>0</v>
      </c>
      <c r="T1742" s="2">
        <v>0</v>
      </c>
      <c r="U1742" s="2">
        <v>0</v>
      </c>
      <c r="V1742" s="2">
        <v>0</v>
      </c>
      <c r="W1742" s="2">
        <v>5</v>
      </c>
      <c r="X1742" s="2" t="s">
        <v>7914</v>
      </c>
      <c r="Y1742" s="2">
        <v>1</v>
      </c>
      <c r="Z1742" s="2">
        <v>4</v>
      </c>
      <c r="AA1742" s="2">
        <v>4</v>
      </c>
      <c r="AB1742" s="2">
        <v>2</v>
      </c>
      <c r="AC1742" s="2">
        <v>1</v>
      </c>
      <c r="AD1742" s="2">
        <v>1</v>
      </c>
      <c r="AE1742" s="2" t="s">
        <v>0</v>
      </c>
      <c r="AF1742" s="2">
        <v>1</v>
      </c>
      <c r="AG1742" s="2" t="s">
        <v>49</v>
      </c>
    </row>
    <row r="1743" spans="1:33" ht="38.25" x14ac:dyDescent="0.2">
      <c r="A1743" s="5" t="str">
        <f>HYPERLINK("http://www.patentics.cn/invokexml.do?sf=ShowPatent&amp;spn=CN102714781B&amp;sv=a5e9fd3aebfd8099a8520ac1720ad8fe","CN102714781B")</f>
        <v>CN102714781B</v>
      </c>
      <c r="B1743" s="3" t="s">
        <v>7915</v>
      </c>
      <c r="C1743" s="3" t="s">
        <v>7916</v>
      </c>
      <c r="D1743" s="3" t="s">
        <v>338</v>
      </c>
      <c r="E1743" s="3" t="s">
        <v>338</v>
      </c>
      <c r="F1743" s="3" t="s">
        <v>7917</v>
      </c>
      <c r="G1743" s="3" t="s">
        <v>2219</v>
      </c>
      <c r="H1743" s="3" t="s">
        <v>3174</v>
      </c>
      <c r="I1743" s="3" t="s">
        <v>7918</v>
      </c>
      <c r="J1743" s="3" t="s">
        <v>7919</v>
      </c>
      <c r="K1743" s="3" t="s">
        <v>82</v>
      </c>
      <c r="L1743" s="3" t="s">
        <v>2841</v>
      </c>
      <c r="M1743" s="3" t="s">
        <v>0</v>
      </c>
      <c r="N1743" s="3" t="s">
        <v>0</v>
      </c>
      <c r="O1743" s="3">
        <v>16</v>
      </c>
      <c r="P1743" s="3">
        <v>9</v>
      </c>
      <c r="Q1743" s="3" t="s">
        <v>60</v>
      </c>
      <c r="R1743" s="3" t="s">
        <v>61</v>
      </c>
      <c r="S1743" s="3">
        <v>4</v>
      </c>
      <c r="T1743" s="3">
        <v>1</v>
      </c>
      <c r="U1743" s="3">
        <v>3</v>
      </c>
      <c r="V1743" s="3">
        <v>4</v>
      </c>
      <c r="W1743" s="3">
        <v>0</v>
      </c>
      <c r="X1743" s="3" t="s">
        <v>147</v>
      </c>
      <c r="Y1743" s="3">
        <v>0</v>
      </c>
      <c r="Z1743" s="3">
        <v>0</v>
      </c>
      <c r="AA1743" s="3">
        <v>0</v>
      </c>
      <c r="AB1743" s="3">
        <v>0</v>
      </c>
      <c r="AC1743" s="3">
        <v>0</v>
      </c>
      <c r="AD1743" s="3">
        <v>0</v>
      </c>
      <c r="AE1743" s="3">
        <v>14</v>
      </c>
      <c r="AF1743" s="3" t="s">
        <v>0</v>
      </c>
      <c r="AG1743" s="3" t="s">
        <v>49</v>
      </c>
    </row>
    <row r="1744" spans="1:33" ht="38.25" x14ac:dyDescent="0.2">
      <c r="A1744" s="4" t="str">
        <f>HYPERLINK("http://www.patentics.cn/invokexml.do?sf=ShowPatent&amp;spn=CN101359938&amp;sv=ae1a3409c1d7b7d463b32c9048995a2e","CN101359938")</f>
        <v>CN101359938</v>
      </c>
      <c r="B1744" s="2" t="s">
        <v>7920</v>
      </c>
      <c r="C1744" s="2" t="s">
        <v>7921</v>
      </c>
      <c r="D1744" s="2" t="s">
        <v>38</v>
      </c>
      <c r="E1744" s="2" t="s">
        <v>38</v>
      </c>
      <c r="F1744" s="2" t="s">
        <v>7922</v>
      </c>
      <c r="G1744" s="2" t="s">
        <v>5274</v>
      </c>
      <c r="H1744" s="2" t="s">
        <v>3591</v>
      </c>
      <c r="I1744" s="2" t="s">
        <v>3591</v>
      </c>
      <c r="J1744" s="2" t="s">
        <v>3232</v>
      </c>
      <c r="K1744" s="2" t="s">
        <v>84</v>
      </c>
      <c r="L1744" s="2" t="s">
        <v>537</v>
      </c>
      <c r="M1744" s="2" t="s">
        <v>0</v>
      </c>
      <c r="N1744" s="2" t="s">
        <v>0</v>
      </c>
      <c r="O1744" s="2">
        <v>10</v>
      </c>
      <c r="P1744" s="2">
        <v>37</v>
      </c>
      <c r="Q1744" s="2" t="s">
        <v>46</v>
      </c>
      <c r="R1744" s="2" t="s">
        <v>47</v>
      </c>
      <c r="S1744" s="2">
        <v>0</v>
      </c>
      <c r="T1744" s="2">
        <v>0</v>
      </c>
      <c r="U1744" s="2">
        <v>0</v>
      </c>
      <c r="V1744" s="2">
        <v>0</v>
      </c>
      <c r="W1744" s="2">
        <v>10</v>
      </c>
      <c r="X1744" s="2" t="s">
        <v>7923</v>
      </c>
      <c r="Y1744" s="2">
        <v>3</v>
      </c>
      <c r="Z1744" s="2">
        <v>7</v>
      </c>
      <c r="AA1744" s="2">
        <v>4</v>
      </c>
      <c r="AB1744" s="2">
        <v>3</v>
      </c>
      <c r="AC1744" s="2">
        <v>1</v>
      </c>
      <c r="AD1744" s="2">
        <v>1</v>
      </c>
      <c r="AE1744" s="2" t="s">
        <v>0</v>
      </c>
      <c r="AF1744" s="2">
        <v>1</v>
      </c>
      <c r="AG1744" s="2" t="s">
        <v>49</v>
      </c>
    </row>
    <row r="1745" spans="1:33" ht="38.25" x14ac:dyDescent="0.2">
      <c r="A1745" s="5" t="str">
        <f>HYPERLINK("http://www.patentics.cn/invokexml.do?sf=ShowPatent&amp;spn=CN102474833B&amp;sv=f38251a72de2b320f138c12c75bb01c9","CN102474833B")</f>
        <v>CN102474833B</v>
      </c>
      <c r="B1745" s="3" t="s">
        <v>7924</v>
      </c>
      <c r="C1745" s="3" t="s">
        <v>7925</v>
      </c>
      <c r="D1745" s="3" t="s">
        <v>338</v>
      </c>
      <c r="E1745" s="3" t="s">
        <v>338</v>
      </c>
      <c r="F1745" s="3" t="s">
        <v>7926</v>
      </c>
      <c r="G1745" s="3" t="s">
        <v>2480</v>
      </c>
      <c r="H1745" s="3" t="s">
        <v>3320</v>
      </c>
      <c r="I1745" s="3" t="s">
        <v>7927</v>
      </c>
      <c r="J1745" s="3" t="s">
        <v>7928</v>
      </c>
      <c r="K1745" s="3" t="s">
        <v>82</v>
      </c>
      <c r="L1745" s="3" t="s">
        <v>7929</v>
      </c>
      <c r="M1745" s="3" t="s">
        <v>0</v>
      </c>
      <c r="N1745" s="3" t="s">
        <v>0</v>
      </c>
      <c r="O1745" s="3">
        <v>31</v>
      </c>
      <c r="P1745" s="3">
        <v>12</v>
      </c>
      <c r="Q1745" s="3" t="s">
        <v>60</v>
      </c>
      <c r="R1745" s="3" t="s">
        <v>61</v>
      </c>
      <c r="S1745" s="3">
        <v>6</v>
      </c>
      <c r="T1745" s="3">
        <v>3</v>
      </c>
      <c r="U1745" s="3">
        <v>3</v>
      </c>
      <c r="V1745" s="3">
        <v>4</v>
      </c>
      <c r="W1745" s="3">
        <v>0</v>
      </c>
      <c r="X1745" s="3" t="s">
        <v>147</v>
      </c>
      <c r="Y1745" s="3">
        <v>0</v>
      </c>
      <c r="Z1745" s="3">
        <v>0</v>
      </c>
      <c r="AA1745" s="3">
        <v>0</v>
      </c>
      <c r="AB1745" s="3">
        <v>0</v>
      </c>
      <c r="AC1745" s="3">
        <v>0</v>
      </c>
      <c r="AD1745" s="3">
        <v>0</v>
      </c>
      <c r="AE1745" s="3">
        <v>14</v>
      </c>
      <c r="AF1745" s="3" t="s">
        <v>0</v>
      </c>
      <c r="AG1745" s="3" t="s">
        <v>49</v>
      </c>
    </row>
    <row r="1746" spans="1:33" ht="38.25" x14ac:dyDescent="0.2">
      <c r="A1746" s="4" t="str">
        <f>HYPERLINK("http://www.patentics.cn/invokexml.do?sf=ShowPatent&amp;spn=CN101360026&amp;sv=0d3ba6739e73be9ab43b468f8250b99d","CN101360026")</f>
        <v>CN101360026</v>
      </c>
      <c r="B1746" s="2" t="s">
        <v>7930</v>
      </c>
      <c r="C1746" s="2" t="s">
        <v>7931</v>
      </c>
      <c r="D1746" s="2" t="s">
        <v>38</v>
      </c>
      <c r="E1746" s="2" t="s">
        <v>38</v>
      </c>
      <c r="F1746" s="2" t="s">
        <v>7932</v>
      </c>
      <c r="G1746" s="2" t="s">
        <v>7933</v>
      </c>
      <c r="H1746" s="2" t="s">
        <v>3591</v>
      </c>
      <c r="I1746" s="2" t="s">
        <v>3591</v>
      </c>
      <c r="J1746" s="2" t="s">
        <v>3232</v>
      </c>
      <c r="K1746" s="2" t="s">
        <v>58</v>
      </c>
      <c r="L1746" s="2" t="s">
        <v>289</v>
      </c>
      <c r="M1746" s="2" t="s">
        <v>0</v>
      </c>
      <c r="N1746" s="2" t="s">
        <v>0</v>
      </c>
      <c r="O1746" s="2">
        <v>6</v>
      </c>
      <c r="P1746" s="2">
        <v>16</v>
      </c>
      <c r="Q1746" s="2" t="s">
        <v>46</v>
      </c>
      <c r="R1746" s="2" t="s">
        <v>47</v>
      </c>
      <c r="S1746" s="2">
        <v>0</v>
      </c>
      <c r="T1746" s="2">
        <v>0</v>
      </c>
      <c r="U1746" s="2">
        <v>0</v>
      </c>
      <c r="V1746" s="2">
        <v>0</v>
      </c>
      <c r="W1746" s="2">
        <v>1</v>
      </c>
      <c r="X1746" s="2" t="s">
        <v>5030</v>
      </c>
      <c r="Y1746" s="2">
        <v>0</v>
      </c>
      <c r="Z1746" s="2">
        <v>1</v>
      </c>
      <c r="AA1746" s="2">
        <v>1</v>
      </c>
      <c r="AB1746" s="2">
        <v>1</v>
      </c>
      <c r="AC1746" s="2">
        <v>8</v>
      </c>
      <c r="AD1746" s="2">
        <v>5</v>
      </c>
      <c r="AE1746" s="2" t="s">
        <v>0</v>
      </c>
      <c r="AF1746" s="2">
        <v>1</v>
      </c>
      <c r="AG1746" s="2" t="s">
        <v>49</v>
      </c>
    </row>
    <row r="1747" spans="1:33" ht="89.25" x14ac:dyDescent="0.2">
      <c r="A1747" s="5" t="str">
        <f>HYPERLINK("http://www.patentics.cn/invokexml.do?sf=ShowPatent&amp;spn=WO2010121139&amp;sv=320465175db9d8045b53d9dec77432de","WO2010121139")</f>
        <v>WO2010121139</v>
      </c>
      <c r="B1747" s="3" t="s">
        <v>7934</v>
      </c>
      <c r="C1747" s="3" t="s">
        <v>7935</v>
      </c>
      <c r="D1747" s="3" t="s">
        <v>7936</v>
      </c>
      <c r="E1747" s="3" t="s">
        <v>7937</v>
      </c>
      <c r="F1747" s="3" t="s">
        <v>7938</v>
      </c>
      <c r="G1747" s="3" t="s">
        <v>7939</v>
      </c>
      <c r="H1747" s="3" t="s">
        <v>6859</v>
      </c>
      <c r="I1747" s="3" t="s">
        <v>2931</v>
      </c>
      <c r="J1747" s="3" t="s">
        <v>5410</v>
      </c>
      <c r="K1747" s="3" t="s">
        <v>82</v>
      </c>
      <c r="L1747" s="3" t="s">
        <v>2457</v>
      </c>
      <c r="M1747" s="3" t="s">
        <v>0</v>
      </c>
      <c r="N1747" s="3" t="s">
        <v>0</v>
      </c>
      <c r="O1747" s="3">
        <v>32</v>
      </c>
      <c r="P1747" s="3">
        <v>20</v>
      </c>
      <c r="Q1747" s="3" t="s">
        <v>352</v>
      </c>
      <c r="R1747" s="3" t="s">
        <v>61</v>
      </c>
      <c r="S1747" s="3">
        <v>2</v>
      </c>
      <c r="T1747" s="3">
        <v>0</v>
      </c>
      <c r="U1747" s="3">
        <v>2</v>
      </c>
      <c r="V1747" s="3">
        <v>2</v>
      </c>
      <c r="W1747" s="3">
        <v>0</v>
      </c>
      <c r="X1747" s="3" t="s">
        <v>147</v>
      </c>
      <c r="Y1747" s="3">
        <v>0</v>
      </c>
      <c r="Z1747" s="3">
        <v>0</v>
      </c>
      <c r="AA1747" s="3">
        <v>0</v>
      </c>
      <c r="AB1747" s="3">
        <v>0</v>
      </c>
      <c r="AC1747" s="3">
        <v>2</v>
      </c>
      <c r="AD1747" s="3">
        <v>3</v>
      </c>
      <c r="AE1747" s="3">
        <v>14</v>
      </c>
      <c r="AF1747" s="3" t="s">
        <v>0</v>
      </c>
      <c r="AG1747" s="3" t="s">
        <v>0</v>
      </c>
    </row>
    <row r="1748" spans="1:33" ht="25.5" x14ac:dyDescent="0.2">
      <c r="A1748" s="4" t="str">
        <f>HYPERLINK("http://www.patentics.cn/invokexml.do?sf=ShowPatent&amp;spn=CN101350947&amp;sv=756f94a7a200343808b578bddb395989","CN101350947")</f>
        <v>CN101350947</v>
      </c>
      <c r="B1748" s="2" t="s">
        <v>7940</v>
      </c>
      <c r="C1748" s="2" t="s">
        <v>7941</v>
      </c>
      <c r="D1748" s="2" t="s">
        <v>38</v>
      </c>
      <c r="E1748" s="2" t="s">
        <v>38</v>
      </c>
      <c r="F1748" s="2" t="s">
        <v>7942</v>
      </c>
      <c r="G1748" s="2" t="s">
        <v>7942</v>
      </c>
      <c r="H1748" s="2" t="s">
        <v>7943</v>
      </c>
      <c r="I1748" s="2" t="s">
        <v>7943</v>
      </c>
      <c r="J1748" s="2" t="s">
        <v>2455</v>
      </c>
      <c r="K1748" s="2" t="s">
        <v>43</v>
      </c>
      <c r="L1748" s="2" t="s">
        <v>1588</v>
      </c>
      <c r="M1748" s="2" t="s">
        <v>0</v>
      </c>
      <c r="N1748" s="2" t="s">
        <v>0</v>
      </c>
      <c r="O1748" s="2">
        <v>8</v>
      </c>
      <c r="P1748" s="2">
        <v>13</v>
      </c>
      <c r="Q1748" s="2" t="s">
        <v>46</v>
      </c>
      <c r="R1748" s="2" t="s">
        <v>47</v>
      </c>
      <c r="S1748" s="2">
        <v>0</v>
      </c>
      <c r="T1748" s="2">
        <v>0</v>
      </c>
      <c r="U1748" s="2">
        <v>0</v>
      </c>
      <c r="V1748" s="2">
        <v>0</v>
      </c>
      <c r="W1748" s="2">
        <v>2</v>
      </c>
      <c r="X1748" s="2" t="s">
        <v>2204</v>
      </c>
      <c r="Y1748" s="2">
        <v>0</v>
      </c>
      <c r="Z1748" s="2">
        <v>2</v>
      </c>
      <c r="AA1748" s="2">
        <v>2</v>
      </c>
      <c r="AB1748" s="2">
        <v>2</v>
      </c>
      <c r="AC1748" s="2">
        <v>1</v>
      </c>
      <c r="AD1748" s="2">
        <v>1</v>
      </c>
      <c r="AE1748" s="2" t="s">
        <v>0</v>
      </c>
      <c r="AF1748" s="2">
        <v>1</v>
      </c>
      <c r="AG1748" s="2" t="s">
        <v>49</v>
      </c>
    </row>
    <row r="1749" spans="1:33" ht="89.25" x14ac:dyDescent="0.2">
      <c r="A1749" s="5" t="str">
        <f>HYPERLINK("http://www.patentics.cn/invokexml.do?sf=ShowPatent&amp;spn=US9491590&amp;sv=6c9b91c35e9f35aa37a8aed03ad8286f","US9491590")</f>
        <v>US9491590</v>
      </c>
      <c r="B1749" s="3" t="s">
        <v>7475</v>
      </c>
      <c r="C1749" s="3" t="s">
        <v>7476</v>
      </c>
      <c r="D1749" s="3" t="s">
        <v>52</v>
      </c>
      <c r="E1749" s="3" t="s">
        <v>52</v>
      </c>
      <c r="F1749" s="3" t="s">
        <v>7477</v>
      </c>
      <c r="G1749" s="3" t="s">
        <v>3636</v>
      </c>
      <c r="H1749" s="3" t="s">
        <v>3734</v>
      </c>
      <c r="I1749" s="3" t="s">
        <v>6668</v>
      </c>
      <c r="J1749" s="3" t="s">
        <v>7478</v>
      </c>
      <c r="K1749" s="3" t="s">
        <v>82</v>
      </c>
      <c r="L1749" s="3" t="s">
        <v>4497</v>
      </c>
      <c r="M1749" s="3" t="s">
        <v>82</v>
      </c>
      <c r="N1749" s="3" t="s">
        <v>1649</v>
      </c>
      <c r="O1749" s="3">
        <v>0</v>
      </c>
      <c r="P1749" s="3">
        <v>13</v>
      </c>
      <c r="Q1749" s="3" t="s">
        <v>60</v>
      </c>
      <c r="R1749" s="3" t="s">
        <v>61</v>
      </c>
      <c r="S1749" s="3">
        <v>19</v>
      </c>
      <c r="T1749" s="3">
        <v>2</v>
      </c>
      <c r="U1749" s="3">
        <v>17</v>
      </c>
      <c r="V1749" s="3">
        <v>10</v>
      </c>
      <c r="W1749" s="3">
        <v>0</v>
      </c>
      <c r="X1749" s="3" t="s">
        <v>147</v>
      </c>
      <c r="Y1749" s="3">
        <v>0</v>
      </c>
      <c r="Z1749" s="3">
        <v>0</v>
      </c>
      <c r="AA1749" s="3">
        <v>0</v>
      </c>
      <c r="AB1749" s="3">
        <v>0</v>
      </c>
      <c r="AC1749" s="3">
        <v>10</v>
      </c>
      <c r="AD1749" s="3">
        <v>8</v>
      </c>
      <c r="AE1749" s="3">
        <v>14</v>
      </c>
      <c r="AF1749" s="3" t="s">
        <v>0</v>
      </c>
      <c r="AG1749" s="3" t="s">
        <v>49</v>
      </c>
    </row>
    <row r="1750" spans="1:33" ht="25.5" x14ac:dyDescent="0.2">
      <c r="A1750" s="4" t="str">
        <f>HYPERLINK("http://www.patentics.cn/invokexml.do?sf=ShowPatent&amp;spn=CN101340230&amp;sv=0fd9056c283b8bb4a542ddf5da2526e1","CN101340230")</f>
        <v>CN101340230</v>
      </c>
      <c r="B1750" s="2" t="s">
        <v>7944</v>
      </c>
      <c r="C1750" s="2" t="s">
        <v>7945</v>
      </c>
      <c r="D1750" s="2" t="s">
        <v>38</v>
      </c>
      <c r="E1750" s="2" t="s">
        <v>38</v>
      </c>
      <c r="F1750" s="2" t="s">
        <v>7946</v>
      </c>
      <c r="G1750" s="2" t="s">
        <v>5696</v>
      </c>
      <c r="H1750" s="2" t="s">
        <v>7947</v>
      </c>
      <c r="I1750" s="2" t="s">
        <v>7947</v>
      </c>
      <c r="J1750" s="2" t="s">
        <v>2492</v>
      </c>
      <c r="K1750" s="2" t="s">
        <v>84</v>
      </c>
      <c r="L1750" s="2" t="s">
        <v>114</v>
      </c>
      <c r="M1750" s="2" t="s">
        <v>0</v>
      </c>
      <c r="N1750" s="2" t="s">
        <v>0</v>
      </c>
      <c r="O1750" s="2">
        <v>12</v>
      </c>
      <c r="P1750" s="2">
        <v>18</v>
      </c>
      <c r="Q1750" s="2" t="s">
        <v>46</v>
      </c>
      <c r="R1750" s="2" t="s">
        <v>47</v>
      </c>
      <c r="S1750" s="2">
        <v>0</v>
      </c>
      <c r="T1750" s="2">
        <v>0</v>
      </c>
      <c r="U1750" s="2">
        <v>0</v>
      </c>
      <c r="V1750" s="2">
        <v>0</v>
      </c>
      <c r="W1750" s="2">
        <v>4</v>
      </c>
      <c r="X1750" s="2" t="s">
        <v>7948</v>
      </c>
      <c r="Y1750" s="2">
        <v>1</v>
      </c>
      <c r="Z1750" s="2">
        <v>3</v>
      </c>
      <c r="AA1750" s="2">
        <v>4</v>
      </c>
      <c r="AB1750" s="2">
        <v>3</v>
      </c>
      <c r="AC1750" s="2">
        <v>2</v>
      </c>
      <c r="AD1750" s="2">
        <v>2</v>
      </c>
      <c r="AE1750" s="2" t="s">
        <v>0</v>
      </c>
      <c r="AF1750" s="2">
        <v>1</v>
      </c>
      <c r="AG1750" s="2" t="s">
        <v>49</v>
      </c>
    </row>
    <row r="1751" spans="1:33" ht="204" x14ac:dyDescent="0.2">
      <c r="A1751" s="5" t="str">
        <f>HYPERLINK("http://www.patentics.cn/invokexml.do?sf=ShowPatent&amp;spn=US8989107&amp;sv=722d16c0fcc9cabbec80a8204fd3c2ab","US8989107")</f>
        <v>US8989107</v>
      </c>
      <c r="B1751" s="3" t="s">
        <v>7949</v>
      </c>
      <c r="C1751" s="3" t="s">
        <v>7950</v>
      </c>
      <c r="D1751" s="3" t="s">
        <v>52</v>
      </c>
      <c r="E1751" s="3" t="s">
        <v>52</v>
      </c>
      <c r="F1751" s="3" t="s">
        <v>7951</v>
      </c>
      <c r="G1751" s="3" t="s">
        <v>3073</v>
      </c>
      <c r="H1751" s="3" t="s">
        <v>5348</v>
      </c>
      <c r="I1751" s="3" t="s">
        <v>5349</v>
      </c>
      <c r="J1751" s="3" t="s">
        <v>812</v>
      </c>
      <c r="K1751" s="3" t="s">
        <v>82</v>
      </c>
      <c r="L1751" s="3" t="s">
        <v>83</v>
      </c>
      <c r="M1751" s="3" t="s">
        <v>82</v>
      </c>
      <c r="N1751" s="3" t="s">
        <v>3257</v>
      </c>
      <c r="O1751" s="3">
        <v>0</v>
      </c>
      <c r="P1751" s="3">
        <v>15</v>
      </c>
      <c r="Q1751" s="3" t="s">
        <v>60</v>
      </c>
      <c r="R1751" s="3" t="s">
        <v>61</v>
      </c>
      <c r="S1751" s="3">
        <v>7</v>
      </c>
      <c r="T1751" s="3">
        <v>1</v>
      </c>
      <c r="U1751" s="3">
        <v>6</v>
      </c>
      <c r="V1751" s="3">
        <v>6</v>
      </c>
      <c r="W1751" s="3">
        <v>8</v>
      </c>
      <c r="X1751" s="3" t="s">
        <v>1351</v>
      </c>
      <c r="Y1751" s="3">
        <v>0</v>
      </c>
      <c r="Z1751" s="3">
        <v>8</v>
      </c>
      <c r="AA1751" s="3">
        <v>1</v>
      </c>
      <c r="AB1751" s="3">
        <v>2</v>
      </c>
      <c r="AC1751" s="3">
        <v>7</v>
      </c>
      <c r="AD1751" s="3">
        <v>7</v>
      </c>
      <c r="AE1751" s="3">
        <v>14</v>
      </c>
      <c r="AF1751" s="3" t="s">
        <v>0</v>
      </c>
      <c r="AG1751" s="3" t="s">
        <v>49</v>
      </c>
    </row>
    <row r="1752" spans="1:33" ht="76.5" x14ac:dyDescent="0.2">
      <c r="A1752" s="4" t="str">
        <f>HYPERLINK("http://www.patentics.cn/invokexml.do?sf=ShowPatent&amp;spn=CN101340712&amp;sv=5a570f965acfb2034a71795947251b68","CN101340712")</f>
        <v>CN101340712</v>
      </c>
      <c r="B1752" s="2" t="s">
        <v>7952</v>
      </c>
      <c r="C1752" s="2" t="s">
        <v>7953</v>
      </c>
      <c r="D1752" s="2" t="s">
        <v>38</v>
      </c>
      <c r="E1752" s="2" t="s">
        <v>38</v>
      </c>
      <c r="F1752" s="2" t="s">
        <v>7954</v>
      </c>
      <c r="G1752" s="2" t="s">
        <v>7898</v>
      </c>
      <c r="H1752" s="2" t="s">
        <v>1920</v>
      </c>
      <c r="I1752" s="2" t="s">
        <v>1920</v>
      </c>
      <c r="J1752" s="2" t="s">
        <v>2492</v>
      </c>
      <c r="K1752" s="2" t="s">
        <v>43</v>
      </c>
      <c r="L1752" s="2" t="s">
        <v>2591</v>
      </c>
      <c r="M1752" s="2" t="s">
        <v>0</v>
      </c>
      <c r="N1752" s="2" t="s">
        <v>0</v>
      </c>
      <c r="O1752" s="2">
        <v>10</v>
      </c>
      <c r="P1752" s="2">
        <v>10</v>
      </c>
      <c r="Q1752" s="2" t="s">
        <v>46</v>
      </c>
      <c r="R1752" s="2" t="s">
        <v>47</v>
      </c>
      <c r="S1752" s="2">
        <v>0</v>
      </c>
      <c r="T1752" s="2">
        <v>0</v>
      </c>
      <c r="U1752" s="2">
        <v>0</v>
      </c>
      <c r="V1752" s="2">
        <v>0</v>
      </c>
      <c r="W1752" s="2">
        <v>20</v>
      </c>
      <c r="X1752" s="2" t="s">
        <v>7955</v>
      </c>
      <c r="Y1752" s="2">
        <v>2</v>
      </c>
      <c r="Z1752" s="2">
        <v>18</v>
      </c>
      <c r="AA1752" s="2">
        <v>6</v>
      </c>
      <c r="AB1752" s="2">
        <v>3</v>
      </c>
      <c r="AC1752" s="2">
        <v>1</v>
      </c>
      <c r="AD1752" s="2">
        <v>1</v>
      </c>
      <c r="AE1752" s="2" t="s">
        <v>0</v>
      </c>
      <c r="AF1752" s="2">
        <v>1</v>
      </c>
      <c r="AG1752" s="2" t="s">
        <v>49</v>
      </c>
    </row>
    <row r="1753" spans="1:33" ht="178.5" x14ac:dyDescent="0.2">
      <c r="A1753" s="5" t="str">
        <f>HYPERLINK("http://www.patentics.cn/invokexml.do?sf=ShowPatent&amp;spn=US9001777&amp;sv=c64d787515dde3dae8fefbf06a68e982","US9001777")</f>
        <v>US9001777</v>
      </c>
      <c r="B1753" s="3" t="s">
        <v>7956</v>
      </c>
      <c r="C1753" s="3" t="s">
        <v>7957</v>
      </c>
      <c r="D1753" s="3" t="s">
        <v>52</v>
      </c>
      <c r="E1753" s="3" t="s">
        <v>52</v>
      </c>
      <c r="F1753" s="3" t="s">
        <v>7958</v>
      </c>
      <c r="G1753" s="3" t="s">
        <v>1113</v>
      </c>
      <c r="H1753" s="3" t="s">
        <v>1114</v>
      </c>
      <c r="I1753" s="3" t="s">
        <v>4281</v>
      </c>
      <c r="J1753" s="3" t="s">
        <v>1071</v>
      </c>
      <c r="K1753" s="3" t="s">
        <v>82</v>
      </c>
      <c r="L1753" s="3" t="s">
        <v>83</v>
      </c>
      <c r="M1753" s="3" t="s">
        <v>58</v>
      </c>
      <c r="N1753" s="3" t="s">
        <v>4314</v>
      </c>
      <c r="O1753" s="3">
        <v>0</v>
      </c>
      <c r="P1753" s="3">
        <v>13</v>
      </c>
      <c r="Q1753" s="3" t="s">
        <v>60</v>
      </c>
      <c r="R1753" s="3" t="s">
        <v>61</v>
      </c>
      <c r="S1753" s="3">
        <v>35</v>
      </c>
      <c r="T1753" s="3">
        <v>4</v>
      </c>
      <c r="U1753" s="3">
        <v>31</v>
      </c>
      <c r="V1753" s="3">
        <v>20</v>
      </c>
      <c r="W1753" s="3">
        <v>7</v>
      </c>
      <c r="X1753" s="3" t="s">
        <v>74</v>
      </c>
      <c r="Y1753" s="3">
        <v>0</v>
      </c>
      <c r="Z1753" s="3">
        <v>7</v>
      </c>
      <c r="AA1753" s="3">
        <v>1</v>
      </c>
      <c r="AB1753" s="3">
        <v>2</v>
      </c>
      <c r="AC1753" s="3">
        <v>10</v>
      </c>
      <c r="AD1753" s="3">
        <v>7</v>
      </c>
      <c r="AE1753" s="3">
        <v>14</v>
      </c>
      <c r="AF1753" s="3" t="s">
        <v>0</v>
      </c>
      <c r="AG1753" s="3" t="s">
        <v>49</v>
      </c>
    </row>
    <row r="1754" spans="1:33" ht="51" x14ac:dyDescent="0.2">
      <c r="A1754" s="4" t="str">
        <f>HYPERLINK("http://www.patentics.cn/invokexml.do?sf=ShowPatent&amp;spn=CN101340711&amp;sv=1b36411c2b4fbeee8f565ad1fd1e7796","CN101340711")</f>
        <v>CN101340711</v>
      </c>
      <c r="B1754" s="2" t="s">
        <v>7959</v>
      </c>
      <c r="C1754" s="2" t="s">
        <v>7953</v>
      </c>
      <c r="D1754" s="2" t="s">
        <v>38</v>
      </c>
      <c r="E1754" s="2" t="s">
        <v>38</v>
      </c>
      <c r="F1754" s="2" t="s">
        <v>1584</v>
      </c>
      <c r="G1754" s="2" t="s">
        <v>1585</v>
      </c>
      <c r="H1754" s="2" t="s">
        <v>1920</v>
      </c>
      <c r="I1754" s="2" t="s">
        <v>1920</v>
      </c>
      <c r="J1754" s="2" t="s">
        <v>2492</v>
      </c>
      <c r="K1754" s="2" t="s">
        <v>43</v>
      </c>
      <c r="L1754" s="2" t="s">
        <v>2591</v>
      </c>
      <c r="M1754" s="2" t="s">
        <v>0</v>
      </c>
      <c r="N1754" s="2" t="s">
        <v>0</v>
      </c>
      <c r="O1754" s="2">
        <v>10</v>
      </c>
      <c r="P1754" s="2">
        <v>10</v>
      </c>
      <c r="Q1754" s="2" t="s">
        <v>46</v>
      </c>
      <c r="R1754" s="2" t="s">
        <v>47</v>
      </c>
      <c r="S1754" s="2">
        <v>0</v>
      </c>
      <c r="T1754" s="2">
        <v>0</v>
      </c>
      <c r="U1754" s="2">
        <v>0</v>
      </c>
      <c r="V1754" s="2">
        <v>0</v>
      </c>
      <c r="W1754" s="2">
        <v>45</v>
      </c>
      <c r="X1754" s="2" t="s">
        <v>7960</v>
      </c>
      <c r="Y1754" s="2">
        <v>5</v>
      </c>
      <c r="Z1754" s="2">
        <v>40</v>
      </c>
      <c r="AA1754" s="2">
        <v>12</v>
      </c>
      <c r="AB1754" s="2">
        <v>4</v>
      </c>
      <c r="AC1754" s="2">
        <v>1</v>
      </c>
      <c r="AD1754" s="2">
        <v>1</v>
      </c>
      <c r="AE1754" s="2" t="s">
        <v>0</v>
      </c>
      <c r="AF1754" s="2">
        <v>1</v>
      </c>
      <c r="AG1754" s="2" t="s">
        <v>49</v>
      </c>
    </row>
    <row r="1755" spans="1:33" ht="178.5" x14ac:dyDescent="0.2">
      <c r="A1755" s="5" t="str">
        <f>HYPERLINK("http://www.patentics.cn/invokexml.do?sf=ShowPatent&amp;spn=US9001777&amp;sv=c64d787515dde3dae8fefbf06a68e982","US9001777")</f>
        <v>US9001777</v>
      </c>
      <c r="B1755" s="3" t="s">
        <v>7956</v>
      </c>
      <c r="C1755" s="3" t="s">
        <v>7957</v>
      </c>
      <c r="D1755" s="3" t="s">
        <v>52</v>
      </c>
      <c r="E1755" s="3" t="s">
        <v>52</v>
      </c>
      <c r="F1755" s="3" t="s">
        <v>7958</v>
      </c>
      <c r="G1755" s="3" t="s">
        <v>1113</v>
      </c>
      <c r="H1755" s="3" t="s">
        <v>1114</v>
      </c>
      <c r="I1755" s="3" t="s">
        <v>4281</v>
      </c>
      <c r="J1755" s="3" t="s">
        <v>1071</v>
      </c>
      <c r="K1755" s="3" t="s">
        <v>82</v>
      </c>
      <c r="L1755" s="3" t="s">
        <v>83</v>
      </c>
      <c r="M1755" s="3" t="s">
        <v>58</v>
      </c>
      <c r="N1755" s="3" t="s">
        <v>4314</v>
      </c>
      <c r="O1755" s="3">
        <v>0</v>
      </c>
      <c r="P1755" s="3">
        <v>13</v>
      </c>
      <c r="Q1755" s="3" t="s">
        <v>60</v>
      </c>
      <c r="R1755" s="3" t="s">
        <v>61</v>
      </c>
      <c r="S1755" s="3">
        <v>35</v>
      </c>
      <c r="T1755" s="3">
        <v>4</v>
      </c>
      <c r="U1755" s="3">
        <v>31</v>
      </c>
      <c r="V1755" s="3">
        <v>20</v>
      </c>
      <c r="W1755" s="3">
        <v>7</v>
      </c>
      <c r="X1755" s="3" t="s">
        <v>74</v>
      </c>
      <c r="Y1755" s="3">
        <v>0</v>
      </c>
      <c r="Z1755" s="3">
        <v>7</v>
      </c>
      <c r="AA1755" s="3">
        <v>1</v>
      </c>
      <c r="AB1755" s="3">
        <v>2</v>
      </c>
      <c r="AC1755" s="3">
        <v>10</v>
      </c>
      <c r="AD1755" s="3">
        <v>7</v>
      </c>
      <c r="AE1755" s="3">
        <v>14</v>
      </c>
      <c r="AF1755" s="3" t="s">
        <v>0</v>
      </c>
      <c r="AG1755" s="3" t="s">
        <v>49</v>
      </c>
    </row>
    <row r="1756" spans="1:33" ht="38.25" x14ac:dyDescent="0.2">
      <c r="A1756" s="4" t="str">
        <f>HYPERLINK("http://www.patentics.cn/invokexml.do?sf=ShowPatent&amp;spn=CN101330325&amp;sv=425a00cf12e001eb04c4263c8aa5d4a4","CN101330325")</f>
        <v>CN101330325</v>
      </c>
      <c r="B1756" s="2" t="s">
        <v>7961</v>
      </c>
      <c r="C1756" s="2" t="s">
        <v>7962</v>
      </c>
      <c r="D1756" s="2" t="s">
        <v>38</v>
      </c>
      <c r="E1756" s="2" t="s">
        <v>38</v>
      </c>
      <c r="F1756" s="2" t="s">
        <v>7963</v>
      </c>
      <c r="G1756" s="2" t="s">
        <v>3721</v>
      </c>
      <c r="H1756" s="2" t="s">
        <v>7964</v>
      </c>
      <c r="I1756" s="2" t="s">
        <v>7964</v>
      </c>
      <c r="J1756" s="2" t="s">
        <v>3444</v>
      </c>
      <c r="K1756" s="2" t="s">
        <v>84</v>
      </c>
      <c r="L1756" s="2" t="s">
        <v>1922</v>
      </c>
      <c r="M1756" s="2" t="s">
        <v>0</v>
      </c>
      <c r="N1756" s="2" t="s">
        <v>0</v>
      </c>
      <c r="O1756" s="2">
        <v>10</v>
      </c>
      <c r="P1756" s="2">
        <v>24</v>
      </c>
      <c r="Q1756" s="2" t="s">
        <v>46</v>
      </c>
      <c r="R1756" s="2" t="s">
        <v>47</v>
      </c>
      <c r="S1756" s="2">
        <v>0</v>
      </c>
      <c r="T1756" s="2">
        <v>0</v>
      </c>
      <c r="U1756" s="2">
        <v>0</v>
      </c>
      <c r="V1756" s="2">
        <v>0</v>
      </c>
      <c r="W1756" s="2">
        <v>49</v>
      </c>
      <c r="X1756" s="2" t="s">
        <v>7965</v>
      </c>
      <c r="Y1756" s="2">
        <v>17</v>
      </c>
      <c r="Z1756" s="2">
        <v>32</v>
      </c>
      <c r="AA1756" s="2">
        <v>10</v>
      </c>
      <c r="AB1756" s="2">
        <v>4</v>
      </c>
      <c r="AC1756" s="2">
        <v>14</v>
      </c>
      <c r="AD1756" s="2">
        <v>8</v>
      </c>
      <c r="AE1756" s="2" t="s">
        <v>0</v>
      </c>
      <c r="AF1756" s="2">
        <v>1</v>
      </c>
      <c r="AG1756" s="2" t="s">
        <v>49</v>
      </c>
    </row>
    <row r="1757" spans="1:33" ht="51" x14ac:dyDescent="0.2">
      <c r="A1757" s="5" t="str">
        <f>HYPERLINK("http://www.patentics.cn/invokexml.do?sf=ShowPatent&amp;spn=US9148879&amp;sv=7f3ead8d3b75d47a94a21a9c725286ac","US9148879")</f>
        <v>US9148879</v>
      </c>
      <c r="B1757" s="3" t="s">
        <v>7081</v>
      </c>
      <c r="C1757" s="3" t="s">
        <v>7082</v>
      </c>
      <c r="D1757" s="3" t="s">
        <v>52</v>
      </c>
      <c r="E1757" s="3" t="s">
        <v>52</v>
      </c>
      <c r="F1757" s="3" t="s">
        <v>7083</v>
      </c>
      <c r="G1757" s="3" t="s">
        <v>6380</v>
      </c>
      <c r="H1757" s="3" t="s">
        <v>569</v>
      </c>
      <c r="I1757" s="3" t="s">
        <v>7084</v>
      </c>
      <c r="J1757" s="3" t="s">
        <v>248</v>
      </c>
      <c r="K1757" s="3" t="s">
        <v>82</v>
      </c>
      <c r="L1757" s="3" t="s">
        <v>244</v>
      </c>
      <c r="M1757" s="3" t="s">
        <v>82</v>
      </c>
      <c r="N1757" s="3" t="s">
        <v>1185</v>
      </c>
      <c r="O1757" s="3">
        <v>0</v>
      </c>
      <c r="P1757" s="3">
        <v>11</v>
      </c>
      <c r="Q1757" s="3" t="s">
        <v>60</v>
      </c>
      <c r="R1757" s="3" t="s">
        <v>47</v>
      </c>
      <c r="S1757" s="3">
        <v>28</v>
      </c>
      <c r="T1757" s="3">
        <v>1</v>
      </c>
      <c r="U1757" s="3">
        <v>27</v>
      </c>
      <c r="V1757" s="3">
        <v>10</v>
      </c>
      <c r="W1757" s="3">
        <v>8</v>
      </c>
      <c r="X1757" s="3" t="s">
        <v>147</v>
      </c>
      <c r="Y1757" s="3">
        <v>0</v>
      </c>
      <c r="Z1757" s="3">
        <v>8</v>
      </c>
      <c r="AA1757" s="3">
        <v>0</v>
      </c>
      <c r="AB1757" s="3">
        <v>1</v>
      </c>
      <c r="AC1757" s="3">
        <v>11</v>
      </c>
      <c r="AD1757" s="3">
        <v>4</v>
      </c>
      <c r="AE1757" s="3">
        <v>14</v>
      </c>
      <c r="AF1757" s="3" t="s">
        <v>0</v>
      </c>
      <c r="AG1757" s="3" t="s">
        <v>49</v>
      </c>
    </row>
    <row r="1758" spans="1:33" ht="25.5" x14ac:dyDescent="0.2">
      <c r="A1758" s="4" t="str">
        <f>HYPERLINK("http://www.patentics.cn/invokexml.do?sf=ShowPatent&amp;spn=CN101325803&amp;sv=e97e514488d9e24b18b51524c76d79de","CN101325803")</f>
        <v>CN101325803</v>
      </c>
      <c r="B1758" s="2" t="s">
        <v>7966</v>
      </c>
      <c r="C1758" s="2" t="s">
        <v>7967</v>
      </c>
      <c r="D1758" s="2" t="s">
        <v>38</v>
      </c>
      <c r="E1758" s="2" t="s">
        <v>38</v>
      </c>
      <c r="F1758" s="2" t="s">
        <v>7968</v>
      </c>
      <c r="G1758" s="2" t="s">
        <v>7969</v>
      </c>
      <c r="H1758" s="2" t="s">
        <v>7970</v>
      </c>
      <c r="I1758" s="2" t="s">
        <v>7970</v>
      </c>
      <c r="J1758" s="2" t="s">
        <v>2631</v>
      </c>
      <c r="K1758" s="2" t="s">
        <v>43</v>
      </c>
      <c r="L1758" s="2" t="s">
        <v>2591</v>
      </c>
      <c r="M1758" s="2" t="s">
        <v>0</v>
      </c>
      <c r="N1758" s="2" t="s">
        <v>0</v>
      </c>
      <c r="O1758" s="2">
        <v>5</v>
      </c>
      <c r="P1758" s="2">
        <v>19</v>
      </c>
      <c r="Q1758" s="2" t="s">
        <v>46</v>
      </c>
      <c r="R1758" s="2" t="s">
        <v>47</v>
      </c>
      <c r="S1758" s="2">
        <v>0</v>
      </c>
      <c r="T1758" s="2">
        <v>0</v>
      </c>
      <c r="U1758" s="2">
        <v>0</v>
      </c>
      <c r="V1758" s="2">
        <v>0</v>
      </c>
      <c r="W1758" s="2">
        <v>1</v>
      </c>
      <c r="X1758" s="2" t="s">
        <v>74</v>
      </c>
      <c r="Y1758" s="2">
        <v>0</v>
      </c>
      <c r="Z1758" s="2">
        <v>1</v>
      </c>
      <c r="AA1758" s="2">
        <v>1</v>
      </c>
      <c r="AB1758" s="2">
        <v>1</v>
      </c>
      <c r="AC1758" s="2">
        <v>1</v>
      </c>
      <c r="AD1758" s="2">
        <v>1</v>
      </c>
      <c r="AE1758" s="2" t="s">
        <v>0</v>
      </c>
      <c r="AF1758" s="2">
        <v>1</v>
      </c>
      <c r="AG1758" s="2" t="s">
        <v>49</v>
      </c>
    </row>
    <row r="1759" spans="1:33" ht="76.5" x14ac:dyDescent="0.2">
      <c r="A1759" s="5" t="str">
        <f>HYPERLINK("http://www.patentics.cn/invokexml.do?sf=ShowPatent&amp;spn=US8995356&amp;sv=54de0b9a40e13d62e1390859108b627e","US8995356")</f>
        <v>US8995356</v>
      </c>
      <c r="B1759" s="3" t="s">
        <v>7971</v>
      </c>
      <c r="C1759" s="3" t="s">
        <v>7972</v>
      </c>
      <c r="D1759" s="3" t="s">
        <v>52</v>
      </c>
      <c r="E1759" s="3" t="s">
        <v>52</v>
      </c>
      <c r="F1759" s="3" t="s">
        <v>7973</v>
      </c>
      <c r="G1759" s="3" t="s">
        <v>7974</v>
      </c>
      <c r="H1759" s="3" t="s">
        <v>7975</v>
      </c>
      <c r="I1759" s="3" t="s">
        <v>3051</v>
      </c>
      <c r="J1759" s="3" t="s">
        <v>3023</v>
      </c>
      <c r="K1759" s="3" t="s">
        <v>82</v>
      </c>
      <c r="L1759" s="3" t="s">
        <v>83</v>
      </c>
      <c r="M1759" s="3" t="s">
        <v>58</v>
      </c>
      <c r="N1759" s="3" t="s">
        <v>3159</v>
      </c>
      <c r="O1759" s="3">
        <v>0</v>
      </c>
      <c r="P1759" s="3">
        <v>15</v>
      </c>
      <c r="Q1759" s="3" t="s">
        <v>60</v>
      </c>
      <c r="R1759" s="3" t="s">
        <v>61</v>
      </c>
      <c r="S1759" s="3">
        <v>34</v>
      </c>
      <c r="T1759" s="3">
        <v>6</v>
      </c>
      <c r="U1759" s="3">
        <v>28</v>
      </c>
      <c r="V1759" s="3">
        <v>19</v>
      </c>
      <c r="W1759" s="3">
        <v>0</v>
      </c>
      <c r="X1759" s="3" t="s">
        <v>147</v>
      </c>
      <c r="Y1759" s="3">
        <v>0</v>
      </c>
      <c r="Z1759" s="3">
        <v>0</v>
      </c>
      <c r="AA1759" s="3">
        <v>0</v>
      </c>
      <c r="AB1759" s="3">
        <v>0</v>
      </c>
      <c r="AC1759" s="3">
        <v>10</v>
      </c>
      <c r="AD1759" s="3">
        <v>7</v>
      </c>
      <c r="AE1759" s="3">
        <v>14</v>
      </c>
      <c r="AF1759" s="3" t="s">
        <v>0</v>
      </c>
      <c r="AG1759" s="3" t="s">
        <v>49</v>
      </c>
    </row>
    <row r="1760" spans="1:33" ht="25.5" x14ac:dyDescent="0.2">
      <c r="A1760" s="4" t="str">
        <f>HYPERLINK("http://www.patentics.cn/invokexml.do?sf=ShowPatent&amp;spn=CN101321009&amp;sv=87bc34cbcdbe82f3756684758f4f8bf0","CN101321009")</f>
        <v>CN101321009</v>
      </c>
      <c r="B1760" s="2" t="s">
        <v>7976</v>
      </c>
      <c r="C1760" s="2" t="s">
        <v>7977</v>
      </c>
      <c r="D1760" s="2" t="s">
        <v>38</v>
      </c>
      <c r="E1760" s="2" t="s">
        <v>38</v>
      </c>
      <c r="F1760" s="2" t="s">
        <v>7978</v>
      </c>
      <c r="G1760" s="2" t="s">
        <v>7565</v>
      </c>
      <c r="H1760" s="2" t="s">
        <v>7979</v>
      </c>
      <c r="I1760" s="2" t="s">
        <v>7979</v>
      </c>
      <c r="J1760" s="2" t="s">
        <v>7980</v>
      </c>
      <c r="K1760" s="2" t="s">
        <v>84</v>
      </c>
      <c r="L1760" s="2" t="s">
        <v>343</v>
      </c>
      <c r="M1760" s="2" t="s">
        <v>0</v>
      </c>
      <c r="N1760" s="2" t="s">
        <v>0</v>
      </c>
      <c r="O1760" s="2">
        <v>16</v>
      </c>
      <c r="P1760" s="2">
        <v>15</v>
      </c>
      <c r="Q1760" s="2" t="s">
        <v>46</v>
      </c>
      <c r="R1760" s="2" t="s">
        <v>47</v>
      </c>
      <c r="S1760" s="2">
        <v>0</v>
      </c>
      <c r="T1760" s="2">
        <v>0</v>
      </c>
      <c r="U1760" s="2">
        <v>0</v>
      </c>
      <c r="V1760" s="2">
        <v>0</v>
      </c>
      <c r="W1760" s="2">
        <v>4</v>
      </c>
      <c r="X1760" s="2" t="s">
        <v>7981</v>
      </c>
      <c r="Y1760" s="2">
        <v>0</v>
      </c>
      <c r="Z1760" s="2">
        <v>4</v>
      </c>
      <c r="AA1760" s="2">
        <v>4</v>
      </c>
      <c r="AB1760" s="2">
        <v>1</v>
      </c>
      <c r="AC1760" s="2">
        <v>1</v>
      </c>
      <c r="AD1760" s="2">
        <v>1</v>
      </c>
      <c r="AE1760" s="2" t="s">
        <v>0</v>
      </c>
      <c r="AF1760" s="2">
        <v>1</v>
      </c>
      <c r="AG1760" s="2" t="s">
        <v>49</v>
      </c>
    </row>
    <row r="1761" spans="1:33" ht="51" x14ac:dyDescent="0.2">
      <c r="A1761" s="5" t="str">
        <f>HYPERLINK("http://www.patentics.cn/invokexml.do?sf=ShowPatent&amp;spn=CN102362442B&amp;sv=9f577b64e9bb97a7a1c88de1021708f0","CN102362442B")</f>
        <v>CN102362442B</v>
      </c>
      <c r="B1761" s="3" t="s">
        <v>7982</v>
      </c>
      <c r="C1761" s="3" t="s">
        <v>7983</v>
      </c>
      <c r="D1761" s="3" t="s">
        <v>338</v>
      </c>
      <c r="E1761" s="3" t="s">
        <v>338</v>
      </c>
      <c r="F1761" s="3" t="s">
        <v>7984</v>
      </c>
      <c r="G1761" s="3" t="s">
        <v>3811</v>
      </c>
      <c r="H1761" s="3" t="s">
        <v>5290</v>
      </c>
      <c r="I1761" s="3" t="s">
        <v>5448</v>
      </c>
      <c r="J1761" s="3" t="s">
        <v>3057</v>
      </c>
      <c r="K1761" s="3" t="s">
        <v>84</v>
      </c>
      <c r="L1761" s="3" t="s">
        <v>343</v>
      </c>
      <c r="M1761" s="3" t="s">
        <v>0</v>
      </c>
      <c r="N1761" s="3" t="s">
        <v>0</v>
      </c>
      <c r="O1761" s="3">
        <v>12</v>
      </c>
      <c r="P1761" s="3">
        <v>16</v>
      </c>
      <c r="Q1761" s="3" t="s">
        <v>60</v>
      </c>
      <c r="R1761" s="3" t="s">
        <v>61</v>
      </c>
      <c r="S1761" s="3">
        <v>5</v>
      </c>
      <c r="T1761" s="3">
        <v>1</v>
      </c>
      <c r="U1761" s="3">
        <v>4</v>
      </c>
      <c r="V1761" s="3">
        <v>5</v>
      </c>
      <c r="W1761" s="3">
        <v>6</v>
      </c>
      <c r="X1761" s="3" t="s">
        <v>147</v>
      </c>
      <c r="Y1761" s="3">
        <v>0</v>
      </c>
      <c r="Z1761" s="3">
        <v>6</v>
      </c>
      <c r="AA1761" s="3">
        <v>0</v>
      </c>
      <c r="AB1761" s="3">
        <v>1</v>
      </c>
      <c r="AC1761" s="3">
        <v>14</v>
      </c>
      <c r="AD1761" s="3">
        <v>9</v>
      </c>
      <c r="AE1761" s="3">
        <v>14</v>
      </c>
      <c r="AF1761" s="3" t="s">
        <v>0</v>
      </c>
      <c r="AG1761" s="3" t="s">
        <v>49</v>
      </c>
    </row>
    <row r="1762" spans="1:33" ht="51" x14ac:dyDescent="0.2">
      <c r="A1762" s="4" t="str">
        <f>HYPERLINK("http://www.patentics.cn/invokexml.do?sf=ShowPatent&amp;spn=CN101304274&amp;sv=7f6c83718fd7f68b611fd543b576f422","CN101304274")</f>
        <v>CN101304274</v>
      </c>
      <c r="B1762" s="2" t="s">
        <v>7985</v>
      </c>
      <c r="C1762" s="2" t="s">
        <v>7986</v>
      </c>
      <c r="D1762" s="2" t="s">
        <v>38</v>
      </c>
      <c r="E1762" s="2" t="s">
        <v>38</v>
      </c>
      <c r="F1762" s="2" t="s">
        <v>7987</v>
      </c>
      <c r="G1762" s="2" t="s">
        <v>7988</v>
      </c>
      <c r="H1762" s="2" t="s">
        <v>7989</v>
      </c>
      <c r="I1762" s="2" t="s">
        <v>7989</v>
      </c>
      <c r="J1762" s="2" t="s">
        <v>2563</v>
      </c>
      <c r="K1762" s="2" t="s">
        <v>84</v>
      </c>
      <c r="L1762" s="2" t="s">
        <v>537</v>
      </c>
      <c r="M1762" s="2" t="s">
        <v>0</v>
      </c>
      <c r="N1762" s="2" t="s">
        <v>0</v>
      </c>
      <c r="O1762" s="2">
        <v>8</v>
      </c>
      <c r="P1762" s="2">
        <v>14</v>
      </c>
      <c r="Q1762" s="2" t="s">
        <v>46</v>
      </c>
      <c r="R1762" s="2" t="s">
        <v>47</v>
      </c>
      <c r="S1762" s="2">
        <v>0</v>
      </c>
      <c r="T1762" s="2">
        <v>0</v>
      </c>
      <c r="U1762" s="2">
        <v>0</v>
      </c>
      <c r="V1762" s="2">
        <v>0</v>
      </c>
      <c r="W1762" s="2">
        <v>1</v>
      </c>
      <c r="X1762" s="2" t="s">
        <v>189</v>
      </c>
      <c r="Y1762" s="2">
        <v>0</v>
      </c>
      <c r="Z1762" s="2">
        <v>1</v>
      </c>
      <c r="AA1762" s="2">
        <v>1</v>
      </c>
      <c r="AB1762" s="2">
        <v>1</v>
      </c>
      <c r="AC1762" s="2">
        <v>1</v>
      </c>
      <c r="AD1762" s="2">
        <v>1</v>
      </c>
      <c r="AE1762" s="2" t="s">
        <v>0</v>
      </c>
      <c r="AF1762" s="2">
        <v>1</v>
      </c>
      <c r="AG1762" s="2" t="s">
        <v>49</v>
      </c>
    </row>
    <row r="1763" spans="1:33" ht="63.75" x14ac:dyDescent="0.2">
      <c r="A1763" s="5" t="str">
        <f>HYPERLINK("http://www.patentics.cn/invokexml.do?sf=ShowPatent&amp;spn=CN102362457B&amp;sv=00ba8a8f1e10862a432cda81607d50e4","CN102362457B")</f>
        <v>CN102362457B</v>
      </c>
      <c r="B1763" s="3" t="s">
        <v>7990</v>
      </c>
      <c r="C1763" s="3" t="s">
        <v>7991</v>
      </c>
      <c r="D1763" s="3" t="s">
        <v>338</v>
      </c>
      <c r="E1763" s="3" t="s">
        <v>338</v>
      </c>
      <c r="F1763" s="3" t="s">
        <v>7992</v>
      </c>
      <c r="G1763" s="3" t="s">
        <v>1190</v>
      </c>
      <c r="H1763" s="3" t="s">
        <v>4100</v>
      </c>
      <c r="I1763" s="3" t="s">
        <v>6344</v>
      </c>
      <c r="J1763" s="3" t="s">
        <v>4180</v>
      </c>
      <c r="K1763" s="3" t="s">
        <v>58</v>
      </c>
      <c r="L1763" s="3" t="s">
        <v>613</v>
      </c>
      <c r="M1763" s="3" t="s">
        <v>0</v>
      </c>
      <c r="N1763" s="3" t="s">
        <v>0</v>
      </c>
      <c r="O1763" s="3">
        <v>39</v>
      </c>
      <c r="P1763" s="3">
        <v>16</v>
      </c>
      <c r="Q1763" s="3" t="s">
        <v>60</v>
      </c>
      <c r="R1763" s="3" t="s">
        <v>61</v>
      </c>
      <c r="S1763" s="3">
        <v>5</v>
      </c>
      <c r="T1763" s="3">
        <v>0</v>
      </c>
      <c r="U1763" s="3">
        <v>5</v>
      </c>
      <c r="V1763" s="3">
        <v>4</v>
      </c>
      <c r="W1763" s="3">
        <v>0</v>
      </c>
      <c r="X1763" s="3" t="s">
        <v>147</v>
      </c>
      <c r="Y1763" s="3">
        <v>0</v>
      </c>
      <c r="Z1763" s="3">
        <v>0</v>
      </c>
      <c r="AA1763" s="3">
        <v>0</v>
      </c>
      <c r="AB1763" s="3">
        <v>0</v>
      </c>
      <c r="AC1763" s="3">
        <v>11</v>
      </c>
      <c r="AD1763" s="3">
        <v>7</v>
      </c>
      <c r="AE1763" s="3">
        <v>14</v>
      </c>
      <c r="AF1763" s="3" t="s">
        <v>0</v>
      </c>
      <c r="AG1763" s="3" t="s">
        <v>49</v>
      </c>
    </row>
    <row r="1764" spans="1:33" ht="38.25" x14ac:dyDescent="0.2">
      <c r="A1764" s="4" t="str">
        <f>HYPERLINK("http://www.patentics.cn/invokexml.do?sf=ShowPatent&amp;spn=CN101296513&amp;sv=fe993cec8c200653ed07b37dfaf25d78","CN101296513")</f>
        <v>CN101296513</v>
      </c>
      <c r="B1764" s="2" t="s">
        <v>7993</v>
      </c>
      <c r="C1764" s="2" t="s">
        <v>7994</v>
      </c>
      <c r="D1764" s="2" t="s">
        <v>38</v>
      </c>
      <c r="E1764" s="2" t="s">
        <v>38</v>
      </c>
      <c r="F1764" s="2" t="s">
        <v>7995</v>
      </c>
      <c r="G1764" s="2" t="s">
        <v>7678</v>
      </c>
      <c r="H1764" s="2" t="s">
        <v>5224</v>
      </c>
      <c r="I1764" s="2" t="s">
        <v>5224</v>
      </c>
      <c r="J1764" s="2" t="s">
        <v>2780</v>
      </c>
      <c r="K1764" s="2" t="s">
        <v>43</v>
      </c>
      <c r="L1764" s="2" t="s">
        <v>2591</v>
      </c>
      <c r="M1764" s="2" t="s">
        <v>0</v>
      </c>
      <c r="N1764" s="2" t="s">
        <v>0</v>
      </c>
      <c r="O1764" s="2">
        <v>10</v>
      </c>
      <c r="P1764" s="2">
        <v>9</v>
      </c>
      <c r="Q1764" s="2" t="s">
        <v>46</v>
      </c>
      <c r="R1764" s="2" t="s">
        <v>47</v>
      </c>
      <c r="S1764" s="2">
        <v>0</v>
      </c>
      <c r="T1764" s="2">
        <v>0</v>
      </c>
      <c r="U1764" s="2">
        <v>0</v>
      </c>
      <c r="V1764" s="2">
        <v>0</v>
      </c>
      <c r="W1764" s="2">
        <v>8</v>
      </c>
      <c r="X1764" s="2" t="s">
        <v>7996</v>
      </c>
      <c r="Y1764" s="2">
        <v>2</v>
      </c>
      <c r="Z1764" s="2">
        <v>6</v>
      </c>
      <c r="AA1764" s="2">
        <v>6</v>
      </c>
      <c r="AB1764" s="2">
        <v>3</v>
      </c>
      <c r="AC1764" s="2">
        <v>15</v>
      </c>
      <c r="AD1764" s="2">
        <v>9</v>
      </c>
      <c r="AE1764" s="2" t="s">
        <v>0</v>
      </c>
      <c r="AF1764" s="2">
        <v>1</v>
      </c>
      <c r="AG1764" s="2" t="s">
        <v>49</v>
      </c>
    </row>
    <row r="1765" spans="1:33" ht="127.5" x14ac:dyDescent="0.2">
      <c r="A1765" s="5" t="str">
        <f>HYPERLINK("http://www.patentics.cn/invokexml.do?sf=ShowPatent&amp;spn=US9106389&amp;sv=8574147769e98ebcabff3517c0c1b47d","US9106389")</f>
        <v>US9106389</v>
      </c>
      <c r="B1765" s="3" t="s">
        <v>7997</v>
      </c>
      <c r="C1765" s="3" t="s">
        <v>7998</v>
      </c>
      <c r="D1765" s="3" t="s">
        <v>52</v>
      </c>
      <c r="E1765" s="3" t="s">
        <v>52</v>
      </c>
      <c r="F1765" s="3" t="s">
        <v>7999</v>
      </c>
      <c r="G1765" s="3" t="s">
        <v>3800</v>
      </c>
      <c r="H1765" s="3" t="s">
        <v>1191</v>
      </c>
      <c r="I1765" s="3" t="s">
        <v>4762</v>
      </c>
      <c r="J1765" s="3" t="s">
        <v>927</v>
      </c>
      <c r="K1765" s="3" t="s">
        <v>58</v>
      </c>
      <c r="L1765" s="3" t="s">
        <v>188</v>
      </c>
      <c r="M1765" s="3" t="s">
        <v>0</v>
      </c>
      <c r="N1765" s="3" t="s">
        <v>0</v>
      </c>
      <c r="O1765" s="3">
        <v>0</v>
      </c>
      <c r="P1765" s="3">
        <v>9</v>
      </c>
      <c r="Q1765" s="3" t="s">
        <v>60</v>
      </c>
      <c r="R1765" s="3" t="s">
        <v>61</v>
      </c>
      <c r="S1765" s="3">
        <v>17</v>
      </c>
      <c r="T1765" s="3">
        <v>4</v>
      </c>
      <c r="U1765" s="3">
        <v>13</v>
      </c>
      <c r="V1765" s="3">
        <v>9</v>
      </c>
      <c r="W1765" s="3">
        <v>0</v>
      </c>
      <c r="X1765" s="3" t="s">
        <v>147</v>
      </c>
      <c r="Y1765" s="3">
        <v>0</v>
      </c>
      <c r="Z1765" s="3">
        <v>0</v>
      </c>
      <c r="AA1765" s="3">
        <v>0</v>
      </c>
      <c r="AB1765" s="3">
        <v>0</v>
      </c>
      <c r="AC1765" s="3">
        <v>7</v>
      </c>
      <c r="AD1765" s="3">
        <v>6</v>
      </c>
      <c r="AE1765" s="3">
        <v>14</v>
      </c>
      <c r="AF1765" s="3" t="s">
        <v>0</v>
      </c>
      <c r="AG1765" s="3" t="s">
        <v>49</v>
      </c>
    </row>
    <row r="1766" spans="1:33" ht="25.5" x14ac:dyDescent="0.2">
      <c r="A1766" s="4" t="str">
        <f>HYPERLINK("http://www.patentics.cn/invokexml.do?sf=ShowPatent&amp;spn=CN101291249&amp;sv=ec5ecef9ef4a50c44958acd2ab23a53a","CN101291249")</f>
        <v>CN101291249</v>
      </c>
      <c r="B1766" s="2" t="s">
        <v>8000</v>
      </c>
      <c r="C1766" s="2" t="s">
        <v>8001</v>
      </c>
      <c r="D1766" s="2" t="s">
        <v>38</v>
      </c>
      <c r="E1766" s="2" t="s">
        <v>38</v>
      </c>
      <c r="F1766" s="2" t="s">
        <v>5459</v>
      </c>
      <c r="G1766" s="2" t="s">
        <v>5459</v>
      </c>
      <c r="H1766" s="2" t="s">
        <v>3130</v>
      </c>
      <c r="I1766" s="2" t="s">
        <v>3130</v>
      </c>
      <c r="J1766" s="2" t="s">
        <v>1261</v>
      </c>
      <c r="K1766" s="2" t="s">
        <v>58</v>
      </c>
      <c r="L1766" s="2" t="s">
        <v>752</v>
      </c>
      <c r="M1766" s="2" t="s">
        <v>0</v>
      </c>
      <c r="N1766" s="2" t="s">
        <v>0</v>
      </c>
      <c r="O1766" s="2">
        <v>16</v>
      </c>
      <c r="P1766" s="2">
        <v>18</v>
      </c>
      <c r="Q1766" s="2" t="s">
        <v>46</v>
      </c>
      <c r="R1766" s="2" t="s">
        <v>47</v>
      </c>
      <c r="S1766" s="2">
        <v>0</v>
      </c>
      <c r="T1766" s="2">
        <v>0</v>
      </c>
      <c r="U1766" s="2">
        <v>0</v>
      </c>
      <c r="V1766" s="2">
        <v>0</v>
      </c>
      <c r="W1766" s="2">
        <v>23</v>
      </c>
      <c r="X1766" s="2" t="s">
        <v>8002</v>
      </c>
      <c r="Y1766" s="2">
        <v>11</v>
      </c>
      <c r="Z1766" s="2">
        <v>12</v>
      </c>
      <c r="AA1766" s="2">
        <v>7</v>
      </c>
      <c r="AB1766" s="2">
        <v>3</v>
      </c>
      <c r="AC1766" s="2">
        <v>1</v>
      </c>
      <c r="AD1766" s="2">
        <v>1</v>
      </c>
      <c r="AE1766" s="2" t="s">
        <v>0</v>
      </c>
      <c r="AF1766" s="2">
        <v>1</v>
      </c>
      <c r="AG1766" s="2" t="s">
        <v>49</v>
      </c>
    </row>
    <row r="1767" spans="1:33" ht="76.5" x14ac:dyDescent="0.2">
      <c r="A1767" s="5" t="str">
        <f>HYPERLINK("http://www.patentics.cn/invokexml.do?sf=ShowPatent&amp;spn=CN102204376B&amp;sv=4127ccaf4d664310f3806ce42cf713b7","CN102204376B")</f>
        <v>CN102204376B</v>
      </c>
      <c r="B1767" s="3" t="s">
        <v>8003</v>
      </c>
      <c r="C1767" s="3" t="s">
        <v>8004</v>
      </c>
      <c r="D1767" s="3" t="s">
        <v>338</v>
      </c>
      <c r="E1767" s="3" t="s">
        <v>338</v>
      </c>
      <c r="F1767" s="3" t="s">
        <v>8005</v>
      </c>
      <c r="G1767" s="3" t="s">
        <v>3458</v>
      </c>
      <c r="H1767" s="3" t="s">
        <v>3010</v>
      </c>
      <c r="I1767" s="3" t="s">
        <v>8006</v>
      </c>
      <c r="J1767" s="3" t="s">
        <v>8007</v>
      </c>
      <c r="K1767" s="3" t="s">
        <v>82</v>
      </c>
      <c r="L1767" s="3" t="s">
        <v>827</v>
      </c>
      <c r="M1767" s="3" t="s">
        <v>0</v>
      </c>
      <c r="N1767" s="3" t="s">
        <v>0</v>
      </c>
      <c r="O1767" s="3">
        <v>101</v>
      </c>
      <c r="P1767" s="3">
        <v>17</v>
      </c>
      <c r="Q1767" s="3" t="s">
        <v>60</v>
      </c>
      <c r="R1767" s="3" t="s">
        <v>61</v>
      </c>
      <c r="S1767" s="3">
        <v>3</v>
      </c>
      <c r="T1767" s="3">
        <v>0</v>
      </c>
      <c r="U1767" s="3">
        <v>3</v>
      </c>
      <c r="V1767" s="3">
        <v>3</v>
      </c>
      <c r="W1767" s="3">
        <v>0</v>
      </c>
      <c r="X1767" s="3" t="s">
        <v>147</v>
      </c>
      <c r="Y1767" s="3">
        <v>0</v>
      </c>
      <c r="Z1767" s="3">
        <v>0</v>
      </c>
      <c r="AA1767" s="3">
        <v>0</v>
      </c>
      <c r="AB1767" s="3">
        <v>0</v>
      </c>
      <c r="AC1767" s="3">
        <v>19</v>
      </c>
      <c r="AD1767" s="3">
        <v>12</v>
      </c>
      <c r="AE1767" s="3">
        <v>14</v>
      </c>
      <c r="AF1767" s="3" t="s">
        <v>0</v>
      </c>
      <c r="AG1767" s="3" t="s">
        <v>49</v>
      </c>
    </row>
    <row r="1768" spans="1:33" ht="25.5" x14ac:dyDescent="0.2">
      <c r="A1768" s="4" t="str">
        <f>HYPERLINK("http://www.patentics.cn/invokexml.do?sf=ShowPatent&amp;spn=CN101287221&amp;sv=f4c9167bac6a46e02682ea6a2edcd4e2","CN101287221")</f>
        <v>CN101287221</v>
      </c>
      <c r="B1768" s="2" t="s">
        <v>8008</v>
      </c>
      <c r="C1768" s="2" t="s">
        <v>8009</v>
      </c>
      <c r="D1768" s="2" t="s">
        <v>38</v>
      </c>
      <c r="E1768" s="2" t="s">
        <v>38</v>
      </c>
      <c r="F1768" s="2" t="s">
        <v>8010</v>
      </c>
      <c r="G1768" s="2" t="s">
        <v>8010</v>
      </c>
      <c r="H1768" s="2" t="s">
        <v>0</v>
      </c>
      <c r="I1768" s="2" t="s">
        <v>6604</v>
      </c>
      <c r="J1768" s="2" t="s">
        <v>562</v>
      </c>
      <c r="K1768" s="2" t="s">
        <v>43</v>
      </c>
      <c r="L1768" s="2" t="s">
        <v>2062</v>
      </c>
      <c r="M1768" s="2" t="s">
        <v>58</v>
      </c>
      <c r="N1768" s="2" t="s">
        <v>1785</v>
      </c>
      <c r="O1768" s="2">
        <v>10</v>
      </c>
      <c r="P1768" s="2">
        <v>8</v>
      </c>
      <c r="Q1768" s="2" t="s">
        <v>46</v>
      </c>
      <c r="R1768" s="2" t="s">
        <v>47</v>
      </c>
      <c r="S1768" s="2">
        <v>0</v>
      </c>
      <c r="T1768" s="2">
        <v>0</v>
      </c>
      <c r="U1768" s="2">
        <v>0</v>
      </c>
      <c r="V1768" s="2">
        <v>0</v>
      </c>
      <c r="W1768" s="2">
        <v>2</v>
      </c>
      <c r="X1768" s="2" t="s">
        <v>5807</v>
      </c>
      <c r="Y1768" s="2">
        <v>0</v>
      </c>
      <c r="Z1768" s="2">
        <v>2</v>
      </c>
      <c r="AA1768" s="2">
        <v>2</v>
      </c>
      <c r="AB1768" s="2">
        <v>2</v>
      </c>
      <c r="AC1768" s="2">
        <v>0</v>
      </c>
      <c r="AD1768" s="2">
        <v>0</v>
      </c>
      <c r="AE1768" s="2" t="s">
        <v>0</v>
      </c>
      <c r="AF1768" s="2">
        <v>1</v>
      </c>
      <c r="AG1768" s="2" t="s">
        <v>547</v>
      </c>
    </row>
    <row r="1769" spans="1:33" ht="102" x14ac:dyDescent="0.2">
      <c r="A1769" s="5" t="str">
        <f>HYPERLINK("http://www.patentics.cn/invokexml.do?sf=ShowPatent&amp;spn=US9563398&amp;sv=015f13c6b783e380dab2de559f096db4","US9563398")</f>
        <v>US9563398</v>
      </c>
      <c r="B1769" s="3" t="s">
        <v>8011</v>
      </c>
      <c r="C1769" s="3" t="s">
        <v>8012</v>
      </c>
      <c r="D1769" s="3" t="s">
        <v>52</v>
      </c>
      <c r="E1769" s="3" t="s">
        <v>52</v>
      </c>
      <c r="F1769" s="3" t="s">
        <v>8013</v>
      </c>
      <c r="G1769" s="3" t="s">
        <v>8014</v>
      </c>
      <c r="H1769" s="3" t="s">
        <v>8015</v>
      </c>
      <c r="I1769" s="3" t="s">
        <v>8016</v>
      </c>
      <c r="J1769" s="3" t="s">
        <v>6406</v>
      </c>
      <c r="K1769" s="3" t="s">
        <v>555</v>
      </c>
      <c r="L1769" s="3" t="s">
        <v>8017</v>
      </c>
      <c r="M1769" s="3" t="s">
        <v>555</v>
      </c>
      <c r="N1769" s="3" t="s">
        <v>8018</v>
      </c>
      <c r="O1769" s="3">
        <v>0</v>
      </c>
      <c r="P1769" s="3">
        <v>20</v>
      </c>
      <c r="Q1769" s="3" t="s">
        <v>60</v>
      </c>
      <c r="R1769" s="3" t="s">
        <v>61</v>
      </c>
      <c r="S1769" s="3">
        <v>12</v>
      </c>
      <c r="T1769" s="3">
        <v>4</v>
      </c>
      <c r="U1769" s="3">
        <v>8</v>
      </c>
      <c r="V1769" s="3">
        <v>8</v>
      </c>
      <c r="W1769" s="3">
        <v>0</v>
      </c>
      <c r="X1769" s="3" t="s">
        <v>147</v>
      </c>
      <c r="Y1769" s="3">
        <v>0</v>
      </c>
      <c r="Z1769" s="3">
        <v>0</v>
      </c>
      <c r="AA1769" s="3">
        <v>0</v>
      </c>
      <c r="AB1769" s="3">
        <v>0</v>
      </c>
      <c r="AC1769" s="3">
        <v>4</v>
      </c>
      <c r="AD1769" s="3">
        <v>2</v>
      </c>
      <c r="AE1769" s="3">
        <v>14</v>
      </c>
      <c r="AF1769" s="3" t="s">
        <v>0</v>
      </c>
      <c r="AG1769" s="3" t="s">
        <v>49</v>
      </c>
    </row>
    <row r="1770" spans="1:33" ht="25.5" x14ac:dyDescent="0.2">
      <c r="A1770" s="4" t="str">
        <f>HYPERLINK("http://www.patentics.cn/invokexml.do?sf=ShowPatent&amp;spn=CN101287268&amp;sv=1afed10d0afa146cda558f9d99ce22e2","CN101287268")</f>
        <v>CN101287268</v>
      </c>
      <c r="B1770" s="2" t="s">
        <v>8019</v>
      </c>
      <c r="C1770" s="2" t="s">
        <v>8020</v>
      </c>
      <c r="D1770" s="2" t="s">
        <v>38</v>
      </c>
      <c r="E1770" s="2" t="s">
        <v>38</v>
      </c>
      <c r="F1770" s="2" t="s">
        <v>8021</v>
      </c>
      <c r="G1770" s="2" t="s">
        <v>3032</v>
      </c>
      <c r="H1770" s="2" t="s">
        <v>3268</v>
      </c>
      <c r="I1770" s="2" t="s">
        <v>3268</v>
      </c>
      <c r="J1770" s="2" t="s">
        <v>562</v>
      </c>
      <c r="K1770" s="2" t="s">
        <v>43</v>
      </c>
      <c r="L1770" s="2" t="s">
        <v>44</v>
      </c>
      <c r="M1770" s="2" t="s">
        <v>58</v>
      </c>
      <c r="N1770" s="2" t="s">
        <v>1785</v>
      </c>
      <c r="O1770" s="2">
        <v>16</v>
      </c>
      <c r="P1770" s="2">
        <v>23</v>
      </c>
      <c r="Q1770" s="2" t="s">
        <v>46</v>
      </c>
      <c r="R1770" s="2" t="s">
        <v>47</v>
      </c>
      <c r="S1770" s="2">
        <v>0</v>
      </c>
      <c r="T1770" s="2">
        <v>0</v>
      </c>
      <c r="U1770" s="2">
        <v>0</v>
      </c>
      <c r="V1770" s="2">
        <v>0</v>
      </c>
      <c r="W1770" s="2">
        <v>12</v>
      </c>
      <c r="X1770" s="2" t="s">
        <v>8022</v>
      </c>
      <c r="Y1770" s="2">
        <v>4</v>
      </c>
      <c r="Z1770" s="2">
        <v>8</v>
      </c>
      <c r="AA1770" s="2">
        <v>7</v>
      </c>
      <c r="AB1770" s="2">
        <v>3</v>
      </c>
      <c r="AC1770" s="2">
        <v>7</v>
      </c>
      <c r="AD1770" s="2">
        <v>5</v>
      </c>
      <c r="AE1770" s="2" t="s">
        <v>0</v>
      </c>
      <c r="AF1770" s="2">
        <v>1</v>
      </c>
      <c r="AG1770" s="2" t="s">
        <v>49</v>
      </c>
    </row>
    <row r="1771" spans="1:33" ht="76.5" x14ac:dyDescent="0.2">
      <c r="A1771" s="5" t="str">
        <f>HYPERLINK("http://www.patentics.cn/invokexml.do?sf=ShowPatent&amp;spn=US9444887&amp;sv=858f3ad4707b918251d10c699da17a94","US9444887")</f>
        <v>US9444887</v>
      </c>
      <c r="B1771" s="3" t="s">
        <v>3284</v>
      </c>
      <c r="C1771" s="3" t="s">
        <v>3279</v>
      </c>
      <c r="D1771" s="3" t="s">
        <v>52</v>
      </c>
      <c r="E1771" s="3" t="s">
        <v>52</v>
      </c>
      <c r="F1771" s="3" t="s">
        <v>3285</v>
      </c>
      <c r="G1771" s="3" t="s">
        <v>3275</v>
      </c>
      <c r="H1771" s="3" t="s">
        <v>0</v>
      </c>
      <c r="I1771" s="3" t="s">
        <v>3282</v>
      </c>
      <c r="J1771" s="3" t="s">
        <v>1422</v>
      </c>
      <c r="K1771" s="3" t="s">
        <v>58</v>
      </c>
      <c r="L1771" s="3" t="s">
        <v>3167</v>
      </c>
      <c r="M1771" s="3" t="s">
        <v>58</v>
      </c>
      <c r="N1771" s="3" t="s">
        <v>3286</v>
      </c>
      <c r="O1771" s="3">
        <v>0</v>
      </c>
      <c r="P1771" s="3">
        <v>11</v>
      </c>
      <c r="Q1771" s="3" t="s">
        <v>60</v>
      </c>
      <c r="R1771" s="3" t="s">
        <v>61</v>
      </c>
      <c r="S1771" s="3">
        <v>59</v>
      </c>
      <c r="T1771" s="3">
        <v>3</v>
      </c>
      <c r="U1771" s="3">
        <v>56</v>
      </c>
      <c r="V1771" s="3">
        <v>37</v>
      </c>
      <c r="W1771" s="3">
        <v>0</v>
      </c>
      <c r="X1771" s="3" t="s">
        <v>147</v>
      </c>
      <c r="Y1771" s="3">
        <v>0</v>
      </c>
      <c r="Z1771" s="3">
        <v>0</v>
      </c>
      <c r="AA1771" s="3">
        <v>0</v>
      </c>
      <c r="AB1771" s="3">
        <v>0</v>
      </c>
      <c r="AC1771" s="3">
        <v>0</v>
      </c>
      <c r="AD1771" s="3">
        <v>0</v>
      </c>
      <c r="AE1771" s="3">
        <v>14</v>
      </c>
      <c r="AF1771" s="3" t="s">
        <v>0</v>
      </c>
      <c r="AG1771" s="3" t="s">
        <v>49</v>
      </c>
    </row>
    <row r="1772" spans="1:33" ht="38.25" x14ac:dyDescent="0.2">
      <c r="A1772" s="4" t="str">
        <f>HYPERLINK("http://www.patentics.cn/invokexml.do?sf=ShowPatent&amp;spn=CN101271720&amp;sv=2666d976d96b0684f8f9b0b2113f8f53","CN101271720")</f>
        <v>CN101271720</v>
      </c>
      <c r="B1772" s="2" t="s">
        <v>8023</v>
      </c>
      <c r="C1772" s="2" t="s">
        <v>8024</v>
      </c>
      <c r="D1772" s="2" t="s">
        <v>38</v>
      </c>
      <c r="E1772" s="2" t="s">
        <v>38</v>
      </c>
      <c r="F1772" s="2" t="s">
        <v>8025</v>
      </c>
      <c r="G1772" s="2" t="s">
        <v>8026</v>
      </c>
      <c r="H1772" s="2" t="s">
        <v>5224</v>
      </c>
      <c r="I1772" s="2" t="s">
        <v>5224</v>
      </c>
      <c r="J1772" s="2" t="s">
        <v>3816</v>
      </c>
      <c r="K1772" s="2" t="s">
        <v>213</v>
      </c>
      <c r="L1772" s="2" t="s">
        <v>8027</v>
      </c>
      <c r="M1772" s="2" t="s">
        <v>544</v>
      </c>
      <c r="N1772" s="2" t="s">
        <v>8028</v>
      </c>
      <c r="O1772" s="2">
        <v>10</v>
      </c>
      <c r="P1772" s="2">
        <v>22</v>
      </c>
      <c r="Q1772" s="2" t="s">
        <v>46</v>
      </c>
      <c r="R1772" s="2" t="s">
        <v>47</v>
      </c>
      <c r="S1772" s="2">
        <v>0</v>
      </c>
      <c r="T1772" s="2">
        <v>0</v>
      </c>
      <c r="U1772" s="2">
        <v>0</v>
      </c>
      <c r="V1772" s="2">
        <v>0</v>
      </c>
      <c r="W1772" s="2">
        <v>16</v>
      </c>
      <c r="X1772" s="2" t="s">
        <v>8029</v>
      </c>
      <c r="Y1772" s="2">
        <v>2</v>
      </c>
      <c r="Z1772" s="2">
        <v>14</v>
      </c>
      <c r="AA1772" s="2">
        <v>11</v>
      </c>
      <c r="AB1772" s="2">
        <v>3</v>
      </c>
      <c r="AC1772" s="2">
        <v>1</v>
      </c>
      <c r="AD1772" s="2">
        <v>1</v>
      </c>
      <c r="AE1772" s="2" t="s">
        <v>0</v>
      </c>
      <c r="AF1772" s="2">
        <v>1</v>
      </c>
      <c r="AG1772" s="2" t="s">
        <v>49</v>
      </c>
    </row>
    <row r="1773" spans="1:33" ht="38.25" x14ac:dyDescent="0.2">
      <c r="A1773" s="5" t="str">
        <f>HYPERLINK("http://www.patentics.cn/invokexml.do?sf=ShowPatent&amp;spn=US9338216&amp;sv=c137648af77cf9a340fb91daa946085a","US9338216")</f>
        <v>US9338216</v>
      </c>
      <c r="B1773" s="3" t="s">
        <v>8030</v>
      </c>
      <c r="C1773" s="3" t="s">
        <v>8031</v>
      </c>
      <c r="D1773" s="3" t="s">
        <v>52</v>
      </c>
      <c r="E1773" s="3" t="s">
        <v>52</v>
      </c>
      <c r="F1773" s="3" t="s">
        <v>8032</v>
      </c>
      <c r="G1773" s="3" t="s">
        <v>8032</v>
      </c>
      <c r="H1773" s="3" t="s">
        <v>2529</v>
      </c>
      <c r="I1773" s="3" t="s">
        <v>3196</v>
      </c>
      <c r="J1773" s="3" t="s">
        <v>840</v>
      </c>
      <c r="K1773" s="3" t="s">
        <v>555</v>
      </c>
      <c r="L1773" s="3" t="s">
        <v>556</v>
      </c>
      <c r="M1773" s="3" t="s">
        <v>58</v>
      </c>
      <c r="N1773" s="3" t="s">
        <v>1514</v>
      </c>
      <c r="O1773" s="3">
        <v>0</v>
      </c>
      <c r="P1773" s="3">
        <v>21</v>
      </c>
      <c r="Q1773" s="3" t="s">
        <v>60</v>
      </c>
      <c r="R1773" s="3" t="s">
        <v>47</v>
      </c>
      <c r="S1773" s="3">
        <v>35</v>
      </c>
      <c r="T1773" s="3">
        <v>1</v>
      </c>
      <c r="U1773" s="3">
        <v>34</v>
      </c>
      <c r="V1773" s="3">
        <v>25</v>
      </c>
      <c r="W1773" s="3">
        <v>4</v>
      </c>
      <c r="X1773" s="3" t="s">
        <v>147</v>
      </c>
      <c r="Y1773" s="3">
        <v>0</v>
      </c>
      <c r="Z1773" s="3">
        <v>4</v>
      </c>
      <c r="AA1773" s="3">
        <v>0</v>
      </c>
      <c r="AB1773" s="3">
        <v>1</v>
      </c>
      <c r="AC1773" s="3">
        <v>14</v>
      </c>
      <c r="AD1773" s="3">
        <v>8</v>
      </c>
      <c r="AE1773" s="3">
        <v>14</v>
      </c>
      <c r="AF1773" s="3" t="s">
        <v>0</v>
      </c>
      <c r="AG1773" s="3" t="s">
        <v>49</v>
      </c>
    </row>
    <row r="1774" spans="1:33" ht="25.5" x14ac:dyDescent="0.2">
      <c r="A1774" s="4" t="str">
        <f>HYPERLINK("http://www.patentics.cn/invokexml.do?sf=ShowPatent&amp;spn=CN101268636&amp;sv=d795de8db0874e34d0b5fa2ec727a410","CN101268636")</f>
        <v>CN101268636</v>
      </c>
      <c r="B1774" s="2" t="s">
        <v>8033</v>
      </c>
      <c r="C1774" s="2" t="s">
        <v>8034</v>
      </c>
      <c r="D1774" s="2" t="s">
        <v>38</v>
      </c>
      <c r="E1774" s="2" t="s">
        <v>38</v>
      </c>
      <c r="F1774" s="2" t="s">
        <v>8035</v>
      </c>
      <c r="G1774" s="2" t="s">
        <v>8036</v>
      </c>
      <c r="H1774" s="2" t="s">
        <v>8037</v>
      </c>
      <c r="I1774" s="2" t="s">
        <v>8037</v>
      </c>
      <c r="J1774" s="2" t="s">
        <v>1602</v>
      </c>
      <c r="K1774" s="2" t="s">
        <v>84</v>
      </c>
      <c r="L1774" s="2" t="s">
        <v>411</v>
      </c>
      <c r="M1774" s="2" t="s">
        <v>58</v>
      </c>
      <c r="N1774" s="2" t="s">
        <v>8038</v>
      </c>
      <c r="O1774" s="2">
        <v>0</v>
      </c>
      <c r="P1774" s="2">
        <v>0</v>
      </c>
      <c r="Q1774" s="2" t="s">
        <v>46</v>
      </c>
      <c r="R1774" s="2" t="s">
        <v>47</v>
      </c>
      <c r="S1774" s="2">
        <v>0</v>
      </c>
      <c r="T1774" s="2">
        <v>0</v>
      </c>
      <c r="U1774" s="2">
        <v>0</v>
      </c>
      <c r="V1774" s="2">
        <v>0</v>
      </c>
      <c r="W1774" s="2">
        <v>1</v>
      </c>
      <c r="X1774" s="2" t="s">
        <v>1206</v>
      </c>
      <c r="Y1774" s="2">
        <v>0</v>
      </c>
      <c r="Z1774" s="2">
        <v>1</v>
      </c>
      <c r="AA1774" s="2">
        <v>1</v>
      </c>
      <c r="AB1774" s="2">
        <v>1</v>
      </c>
      <c r="AC1774" s="2">
        <v>4</v>
      </c>
      <c r="AD1774" s="2">
        <v>3</v>
      </c>
      <c r="AE1774" s="2" t="s">
        <v>0</v>
      </c>
      <c r="AF1774" s="2">
        <v>1</v>
      </c>
      <c r="AG1774" s="2" t="s">
        <v>49</v>
      </c>
    </row>
    <row r="1775" spans="1:33" ht="25.5" x14ac:dyDescent="0.2">
      <c r="A1775" s="5" t="str">
        <f>HYPERLINK("http://www.patentics.cn/invokexml.do?sf=ShowPatent&amp;spn=CN102860089B&amp;sv=027922a338e6631bd8be64eac95d0846","CN102860089B")</f>
        <v>CN102860089B</v>
      </c>
      <c r="B1775" s="3" t="s">
        <v>8039</v>
      </c>
      <c r="C1775" s="3" t="s">
        <v>8040</v>
      </c>
      <c r="D1775" s="3" t="s">
        <v>338</v>
      </c>
      <c r="E1775" s="3" t="s">
        <v>338</v>
      </c>
      <c r="F1775" s="3" t="s">
        <v>8041</v>
      </c>
      <c r="G1775" s="3" t="s">
        <v>8041</v>
      </c>
      <c r="H1775" s="3" t="s">
        <v>2931</v>
      </c>
      <c r="I1775" s="3" t="s">
        <v>8042</v>
      </c>
      <c r="J1775" s="3" t="s">
        <v>5327</v>
      </c>
      <c r="K1775" s="3" t="s">
        <v>82</v>
      </c>
      <c r="L1775" s="3" t="s">
        <v>3335</v>
      </c>
      <c r="M1775" s="3" t="s">
        <v>0</v>
      </c>
      <c r="N1775" s="3" t="s">
        <v>0</v>
      </c>
      <c r="O1775" s="3">
        <v>45</v>
      </c>
      <c r="P1775" s="3">
        <v>20</v>
      </c>
      <c r="Q1775" s="3" t="s">
        <v>60</v>
      </c>
      <c r="R1775" s="3" t="s">
        <v>61</v>
      </c>
      <c r="S1775" s="3">
        <v>3</v>
      </c>
      <c r="T1775" s="3">
        <v>0</v>
      </c>
      <c r="U1775" s="3">
        <v>3</v>
      </c>
      <c r="V1775" s="3">
        <v>3</v>
      </c>
      <c r="W1775" s="3">
        <v>0</v>
      </c>
      <c r="X1775" s="3" t="s">
        <v>147</v>
      </c>
      <c r="Y1775" s="3">
        <v>0</v>
      </c>
      <c r="Z1775" s="3">
        <v>0</v>
      </c>
      <c r="AA1775" s="3">
        <v>0</v>
      </c>
      <c r="AB1775" s="3">
        <v>0</v>
      </c>
      <c r="AC1775" s="3">
        <v>0</v>
      </c>
      <c r="AD1775" s="3">
        <v>0</v>
      </c>
      <c r="AE1775" s="3">
        <v>14</v>
      </c>
      <c r="AF1775" s="3" t="s">
        <v>0</v>
      </c>
      <c r="AG1775" s="3" t="s">
        <v>49</v>
      </c>
    </row>
    <row r="1776" spans="1:33" ht="51" x14ac:dyDescent="0.2">
      <c r="A1776" s="4" t="str">
        <f>HYPERLINK("http://www.patentics.cn/invokexml.do?sf=ShowPatent&amp;spn=CN101252775&amp;sv=60fdd706e9d95e5254c42ef472a73324","CN101252775")</f>
        <v>CN101252775</v>
      </c>
      <c r="B1776" s="2" t="s">
        <v>8043</v>
      </c>
      <c r="C1776" s="2" t="s">
        <v>8044</v>
      </c>
      <c r="D1776" s="2" t="s">
        <v>38</v>
      </c>
      <c r="E1776" s="2" t="s">
        <v>38</v>
      </c>
      <c r="F1776" s="2" t="s">
        <v>8045</v>
      </c>
      <c r="G1776" s="2" t="s">
        <v>5303</v>
      </c>
      <c r="H1776" s="2" t="s">
        <v>5614</v>
      </c>
      <c r="I1776" s="2" t="s">
        <v>5614</v>
      </c>
      <c r="J1776" s="2" t="s">
        <v>8046</v>
      </c>
      <c r="K1776" s="2" t="s">
        <v>43</v>
      </c>
      <c r="L1776" s="2" t="s">
        <v>2591</v>
      </c>
      <c r="M1776" s="2" t="s">
        <v>84</v>
      </c>
      <c r="N1776" s="2" t="s">
        <v>8047</v>
      </c>
      <c r="O1776" s="2">
        <v>34</v>
      </c>
      <c r="P1776" s="2">
        <v>13</v>
      </c>
      <c r="Q1776" s="2" t="s">
        <v>46</v>
      </c>
      <c r="R1776" s="2" t="s">
        <v>47</v>
      </c>
      <c r="S1776" s="2">
        <v>0</v>
      </c>
      <c r="T1776" s="2">
        <v>0</v>
      </c>
      <c r="U1776" s="2">
        <v>0</v>
      </c>
      <c r="V1776" s="2">
        <v>0</v>
      </c>
      <c r="W1776" s="2">
        <v>16</v>
      </c>
      <c r="X1776" s="2" t="s">
        <v>8048</v>
      </c>
      <c r="Y1776" s="2">
        <v>3</v>
      </c>
      <c r="Z1776" s="2">
        <v>13</v>
      </c>
      <c r="AA1776" s="2">
        <v>3</v>
      </c>
      <c r="AB1776" s="2">
        <v>4</v>
      </c>
      <c r="AC1776" s="2">
        <v>6</v>
      </c>
      <c r="AD1776" s="2">
        <v>4</v>
      </c>
      <c r="AE1776" s="2" t="s">
        <v>0</v>
      </c>
      <c r="AF1776" s="2">
        <v>1</v>
      </c>
      <c r="AG1776" s="2" t="s">
        <v>49</v>
      </c>
    </row>
    <row r="1777" spans="1:33" ht="25.5" x14ac:dyDescent="0.2">
      <c r="A1777" s="5" t="str">
        <f>HYPERLINK("http://www.patentics.cn/invokexml.do?sf=ShowPatent&amp;spn=CN102474884B&amp;sv=a47e889fa19e65aa38930be47b068068","CN102474884B")</f>
        <v>CN102474884B</v>
      </c>
      <c r="B1777" s="3" t="s">
        <v>8049</v>
      </c>
      <c r="C1777" s="3" t="s">
        <v>8050</v>
      </c>
      <c r="D1777" s="3" t="s">
        <v>338</v>
      </c>
      <c r="E1777" s="3" t="s">
        <v>338</v>
      </c>
      <c r="F1777" s="3" t="s">
        <v>8051</v>
      </c>
      <c r="G1777" s="3" t="s">
        <v>1190</v>
      </c>
      <c r="H1777" s="3" t="s">
        <v>3414</v>
      </c>
      <c r="I1777" s="3" t="s">
        <v>8052</v>
      </c>
      <c r="J1777" s="3" t="s">
        <v>8053</v>
      </c>
      <c r="K1777" s="3" t="s">
        <v>82</v>
      </c>
      <c r="L1777" s="3" t="s">
        <v>1310</v>
      </c>
      <c r="M1777" s="3" t="s">
        <v>0</v>
      </c>
      <c r="N1777" s="3" t="s">
        <v>0</v>
      </c>
      <c r="O1777" s="3">
        <v>33</v>
      </c>
      <c r="P1777" s="3">
        <v>15</v>
      </c>
      <c r="Q1777" s="3" t="s">
        <v>60</v>
      </c>
      <c r="R1777" s="3" t="s">
        <v>61</v>
      </c>
      <c r="S1777" s="3">
        <v>2</v>
      </c>
      <c r="T1777" s="3">
        <v>0</v>
      </c>
      <c r="U1777" s="3">
        <v>2</v>
      </c>
      <c r="V1777" s="3">
        <v>2</v>
      </c>
      <c r="W1777" s="3">
        <v>0</v>
      </c>
      <c r="X1777" s="3" t="s">
        <v>147</v>
      </c>
      <c r="Y1777" s="3">
        <v>0</v>
      </c>
      <c r="Z1777" s="3">
        <v>0</v>
      </c>
      <c r="AA1777" s="3">
        <v>0</v>
      </c>
      <c r="AB1777" s="3">
        <v>0</v>
      </c>
      <c r="AC1777" s="3">
        <v>10</v>
      </c>
      <c r="AD1777" s="3">
        <v>7</v>
      </c>
      <c r="AE1777" s="3">
        <v>14</v>
      </c>
      <c r="AF1777" s="3" t="s">
        <v>0</v>
      </c>
      <c r="AG1777" s="3" t="s">
        <v>49</v>
      </c>
    </row>
    <row r="1778" spans="1:33" ht="25.5" x14ac:dyDescent="0.2">
      <c r="A1778" s="4" t="str">
        <f>HYPERLINK("http://www.patentics.cn/invokexml.do?sf=ShowPatent&amp;spn=CN101237663&amp;sv=fd4c26e4b3d326f72a723e6941ac4e5a","CN101237663")</f>
        <v>CN101237663</v>
      </c>
      <c r="B1778" s="2" t="s">
        <v>8054</v>
      </c>
      <c r="C1778" s="2" t="s">
        <v>8055</v>
      </c>
      <c r="D1778" s="2" t="s">
        <v>38</v>
      </c>
      <c r="E1778" s="2" t="s">
        <v>38</v>
      </c>
      <c r="F1778" s="2" t="s">
        <v>8056</v>
      </c>
      <c r="G1778" s="2" t="s">
        <v>8056</v>
      </c>
      <c r="H1778" s="2" t="s">
        <v>3701</v>
      </c>
      <c r="I1778" s="2" t="s">
        <v>3701</v>
      </c>
      <c r="J1778" s="2" t="s">
        <v>2294</v>
      </c>
      <c r="K1778" s="2" t="s">
        <v>43</v>
      </c>
      <c r="L1778" s="2" t="s">
        <v>5424</v>
      </c>
      <c r="M1778" s="2" t="s">
        <v>58</v>
      </c>
      <c r="N1778" s="2" t="s">
        <v>1832</v>
      </c>
      <c r="O1778" s="2">
        <v>10</v>
      </c>
      <c r="P1778" s="2">
        <v>11</v>
      </c>
      <c r="Q1778" s="2" t="s">
        <v>46</v>
      </c>
      <c r="R1778" s="2" t="s">
        <v>47</v>
      </c>
      <c r="S1778" s="2">
        <v>0</v>
      </c>
      <c r="T1778" s="2">
        <v>0</v>
      </c>
      <c r="U1778" s="2">
        <v>0</v>
      </c>
      <c r="V1778" s="2">
        <v>0</v>
      </c>
      <c r="W1778" s="2">
        <v>1</v>
      </c>
      <c r="X1778" s="2" t="s">
        <v>1186</v>
      </c>
      <c r="Y1778" s="2">
        <v>0</v>
      </c>
      <c r="Z1778" s="2">
        <v>1</v>
      </c>
      <c r="AA1778" s="2">
        <v>1</v>
      </c>
      <c r="AB1778" s="2">
        <v>1</v>
      </c>
      <c r="AC1778" s="2">
        <v>1</v>
      </c>
      <c r="AD1778" s="2">
        <v>1</v>
      </c>
      <c r="AE1778" s="2" t="s">
        <v>0</v>
      </c>
      <c r="AF1778" s="2">
        <v>1</v>
      </c>
      <c r="AG1778" s="2" t="s">
        <v>49</v>
      </c>
    </row>
    <row r="1779" spans="1:33" ht="38.25" x14ac:dyDescent="0.2">
      <c r="A1779" s="5" t="str">
        <f>HYPERLINK("http://www.patentics.cn/invokexml.do?sf=ShowPatent&amp;spn=US9332582&amp;sv=b494c953719b3e54b97b2375c55f1439","US9332582")</f>
        <v>US9332582</v>
      </c>
      <c r="B1779" s="3" t="s">
        <v>8057</v>
      </c>
      <c r="C1779" s="3" t="s">
        <v>8058</v>
      </c>
      <c r="D1779" s="3" t="s">
        <v>52</v>
      </c>
      <c r="E1779" s="3" t="s">
        <v>52</v>
      </c>
      <c r="F1779" s="3" t="s">
        <v>8059</v>
      </c>
      <c r="G1779" s="3" t="s">
        <v>5334</v>
      </c>
      <c r="H1779" s="3" t="s">
        <v>1403</v>
      </c>
      <c r="I1779" s="3" t="s">
        <v>1748</v>
      </c>
      <c r="J1779" s="3" t="s">
        <v>3217</v>
      </c>
      <c r="K1779" s="3" t="s">
        <v>82</v>
      </c>
      <c r="L1779" s="3" t="s">
        <v>2015</v>
      </c>
      <c r="M1779" s="3" t="s">
        <v>82</v>
      </c>
      <c r="N1779" s="3" t="s">
        <v>1988</v>
      </c>
      <c r="O1779" s="3">
        <v>0</v>
      </c>
      <c r="P1779" s="3">
        <v>22</v>
      </c>
      <c r="Q1779" s="3" t="s">
        <v>60</v>
      </c>
      <c r="R1779" s="3" t="s">
        <v>61</v>
      </c>
      <c r="S1779" s="3">
        <v>17</v>
      </c>
      <c r="T1779" s="3">
        <v>0</v>
      </c>
      <c r="U1779" s="3">
        <v>17</v>
      </c>
      <c r="V1779" s="3">
        <v>9</v>
      </c>
      <c r="W1779" s="3">
        <v>0</v>
      </c>
      <c r="X1779" s="3" t="s">
        <v>147</v>
      </c>
      <c r="Y1779" s="3">
        <v>0</v>
      </c>
      <c r="Z1779" s="3">
        <v>0</v>
      </c>
      <c r="AA1779" s="3">
        <v>0</v>
      </c>
      <c r="AB1779" s="3">
        <v>0</v>
      </c>
      <c r="AC1779" s="3">
        <v>6</v>
      </c>
      <c r="AD1779" s="3">
        <v>5</v>
      </c>
      <c r="AE1779" s="3">
        <v>14</v>
      </c>
      <c r="AF1779" s="3" t="s">
        <v>0</v>
      </c>
      <c r="AG1779" s="3" t="s">
        <v>49</v>
      </c>
    </row>
    <row r="1780" spans="1:33" ht="25.5" x14ac:dyDescent="0.2">
      <c r="A1780" s="4" t="str">
        <f>HYPERLINK("http://www.patentics.cn/invokexml.do?sf=ShowPatent&amp;spn=CN101236769&amp;sv=682b82c88356704fe3619e37a350a707","CN101236769")</f>
        <v>CN101236769</v>
      </c>
      <c r="B1780" s="2" t="s">
        <v>8060</v>
      </c>
      <c r="C1780" s="2" t="s">
        <v>8061</v>
      </c>
      <c r="D1780" s="2" t="s">
        <v>38</v>
      </c>
      <c r="E1780" s="2" t="s">
        <v>38</v>
      </c>
      <c r="F1780" s="2" t="s">
        <v>8062</v>
      </c>
      <c r="G1780" s="2" t="s">
        <v>8063</v>
      </c>
      <c r="H1780" s="2" t="s">
        <v>3413</v>
      </c>
      <c r="I1780" s="2" t="s">
        <v>3413</v>
      </c>
      <c r="J1780" s="2" t="s">
        <v>2294</v>
      </c>
      <c r="K1780" s="2" t="s">
        <v>213</v>
      </c>
      <c r="L1780" s="2" t="s">
        <v>8027</v>
      </c>
      <c r="M1780" s="2" t="s">
        <v>213</v>
      </c>
      <c r="N1780" s="2" t="s">
        <v>8064</v>
      </c>
      <c r="O1780" s="2">
        <v>7</v>
      </c>
      <c r="P1780" s="2">
        <v>7</v>
      </c>
      <c r="Q1780" s="2" t="s">
        <v>46</v>
      </c>
      <c r="R1780" s="2" t="s">
        <v>47</v>
      </c>
      <c r="S1780" s="2">
        <v>0</v>
      </c>
      <c r="T1780" s="2">
        <v>0</v>
      </c>
      <c r="U1780" s="2">
        <v>0</v>
      </c>
      <c r="V1780" s="2">
        <v>0</v>
      </c>
      <c r="W1780" s="2">
        <v>1</v>
      </c>
      <c r="X1780" s="2" t="s">
        <v>1232</v>
      </c>
      <c r="Y1780" s="2">
        <v>0</v>
      </c>
      <c r="Z1780" s="2">
        <v>1</v>
      </c>
      <c r="AA1780" s="2">
        <v>1</v>
      </c>
      <c r="AB1780" s="2">
        <v>1</v>
      </c>
      <c r="AC1780" s="2">
        <v>1</v>
      </c>
      <c r="AD1780" s="2">
        <v>1</v>
      </c>
      <c r="AE1780" s="2" t="s">
        <v>0</v>
      </c>
      <c r="AF1780" s="2">
        <v>1</v>
      </c>
      <c r="AG1780" s="2" t="s">
        <v>49</v>
      </c>
    </row>
    <row r="1781" spans="1:33" ht="63.75" x14ac:dyDescent="0.2">
      <c r="A1781" s="5" t="str">
        <f>HYPERLINK("http://www.patentics.cn/invokexml.do?sf=ShowPatent&amp;spn=CN102265578B&amp;sv=fd7dcfbee61124eac37b0a72d14d0bc9","CN102265578B")</f>
        <v>CN102265578B</v>
      </c>
      <c r="B1781" s="3" t="s">
        <v>8065</v>
      </c>
      <c r="C1781" s="3" t="s">
        <v>8066</v>
      </c>
      <c r="D1781" s="3" t="s">
        <v>338</v>
      </c>
      <c r="E1781" s="3" t="s">
        <v>338</v>
      </c>
      <c r="F1781" s="3" t="s">
        <v>8067</v>
      </c>
      <c r="G1781" s="3" t="s">
        <v>8068</v>
      </c>
      <c r="H1781" s="3" t="s">
        <v>8069</v>
      </c>
      <c r="I1781" s="3" t="s">
        <v>1056</v>
      </c>
      <c r="J1781" s="3" t="s">
        <v>8070</v>
      </c>
      <c r="K1781" s="3" t="s">
        <v>58</v>
      </c>
      <c r="L1781" s="3" t="s">
        <v>722</v>
      </c>
      <c r="M1781" s="3" t="s">
        <v>0</v>
      </c>
      <c r="N1781" s="3" t="s">
        <v>0</v>
      </c>
      <c r="O1781" s="3">
        <v>21</v>
      </c>
      <c r="P1781" s="3">
        <v>11</v>
      </c>
      <c r="Q1781" s="3" t="s">
        <v>60</v>
      </c>
      <c r="R1781" s="3" t="s">
        <v>61</v>
      </c>
      <c r="S1781" s="3">
        <v>13</v>
      </c>
      <c r="T1781" s="3">
        <v>0</v>
      </c>
      <c r="U1781" s="3">
        <v>13</v>
      </c>
      <c r="V1781" s="3">
        <v>12</v>
      </c>
      <c r="W1781" s="3">
        <v>0</v>
      </c>
      <c r="X1781" s="3" t="s">
        <v>147</v>
      </c>
      <c r="Y1781" s="3">
        <v>0</v>
      </c>
      <c r="Z1781" s="3">
        <v>0</v>
      </c>
      <c r="AA1781" s="3">
        <v>0</v>
      </c>
      <c r="AB1781" s="3">
        <v>0</v>
      </c>
      <c r="AC1781" s="3">
        <v>11</v>
      </c>
      <c r="AD1781" s="3">
        <v>6</v>
      </c>
      <c r="AE1781" s="3">
        <v>14</v>
      </c>
      <c r="AF1781" s="3" t="s">
        <v>0</v>
      </c>
      <c r="AG1781" s="3" t="s">
        <v>49</v>
      </c>
    </row>
    <row r="1782" spans="1:33" x14ac:dyDescent="0.2">
      <c r="A1782" s="4" t="str">
        <f>HYPERLINK("http://www.patentics.cn/invokexml.do?sf=ShowPatent&amp;spn=CN101237668&amp;sv=6ca5d21c2ee96c6372ee595928a719c5","CN101237668")</f>
        <v>CN101237668</v>
      </c>
      <c r="B1782" s="2" t="s">
        <v>8071</v>
      </c>
      <c r="C1782" s="2" t="s">
        <v>8072</v>
      </c>
      <c r="D1782" s="2" t="s">
        <v>38</v>
      </c>
      <c r="E1782" s="2" t="s">
        <v>38</v>
      </c>
      <c r="F1782" s="2" t="s">
        <v>8073</v>
      </c>
      <c r="G1782" s="2" t="s">
        <v>8073</v>
      </c>
      <c r="H1782" s="2" t="s">
        <v>0</v>
      </c>
      <c r="I1782" s="2" t="s">
        <v>8074</v>
      </c>
      <c r="J1782" s="2" t="s">
        <v>2294</v>
      </c>
      <c r="K1782" s="2" t="s">
        <v>43</v>
      </c>
      <c r="L1782" s="2" t="s">
        <v>44</v>
      </c>
      <c r="M1782" s="2" t="s">
        <v>58</v>
      </c>
      <c r="N1782" s="2" t="s">
        <v>1785</v>
      </c>
      <c r="O1782" s="2">
        <v>10</v>
      </c>
      <c r="P1782" s="2">
        <v>10</v>
      </c>
      <c r="Q1782" s="2" t="s">
        <v>46</v>
      </c>
      <c r="R1782" s="2" t="s">
        <v>47</v>
      </c>
      <c r="S1782" s="2">
        <v>0</v>
      </c>
      <c r="T1782" s="2">
        <v>0</v>
      </c>
      <c r="U1782" s="2">
        <v>0</v>
      </c>
      <c r="V1782" s="2">
        <v>0</v>
      </c>
      <c r="W1782" s="2">
        <v>1</v>
      </c>
      <c r="X1782" s="2" t="s">
        <v>933</v>
      </c>
      <c r="Y1782" s="2">
        <v>0</v>
      </c>
      <c r="Z1782" s="2">
        <v>1</v>
      </c>
      <c r="AA1782" s="2">
        <v>1</v>
      </c>
      <c r="AB1782" s="2">
        <v>1</v>
      </c>
      <c r="AC1782" s="2">
        <v>0</v>
      </c>
      <c r="AD1782" s="2">
        <v>0</v>
      </c>
      <c r="AE1782" s="2" t="s">
        <v>0</v>
      </c>
      <c r="AF1782" s="2">
        <v>1</v>
      </c>
      <c r="AG1782" s="2" t="s">
        <v>547</v>
      </c>
    </row>
    <row r="1783" spans="1:33" ht="51" x14ac:dyDescent="0.2">
      <c r="A1783" s="5" t="str">
        <f>HYPERLINK("http://www.patentics.cn/invokexml.do?sf=ShowPatent&amp;spn=WO2015061983&amp;sv=f61aa72987ad681e53e89e9ab8d9032b","WO2015061983")</f>
        <v>WO2015061983</v>
      </c>
      <c r="B1783" s="3" t="s">
        <v>8075</v>
      </c>
      <c r="C1783" s="3" t="s">
        <v>7226</v>
      </c>
      <c r="D1783" s="3" t="s">
        <v>7227</v>
      </c>
      <c r="E1783" s="3" t="s">
        <v>7228</v>
      </c>
      <c r="F1783" s="3" t="s">
        <v>7229</v>
      </c>
      <c r="G1783" s="3" t="s">
        <v>5659</v>
      </c>
      <c r="H1783" s="3" t="s">
        <v>7230</v>
      </c>
      <c r="I1783" s="3" t="s">
        <v>7230</v>
      </c>
      <c r="J1783" s="3" t="s">
        <v>7231</v>
      </c>
      <c r="K1783" s="3" t="s">
        <v>82</v>
      </c>
      <c r="L1783" s="3" t="s">
        <v>2594</v>
      </c>
      <c r="M1783" s="3" t="s">
        <v>0</v>
      </c>
      <c r="N1783" s="3" t="s">
        <v>0</v>
      </c>
      <c r="O1783" s="3">
        <v>18</v>
      </c>
      <c r="P1783" s="3">
        <v>18</v>
      </c>
      <c r="Q1783" s="3" t="s">
        <v>352</v>
      </c>
      <c r="R1783" s="3" t="s">
        <v>47</v>
      </c>
      <c r="S1783" s="3">
        <v>4</v>
      </c>
      <c r="T1783" s="3">
        <v>0</v>
      </c>
      <c r="U1783" s="3">
        <v>4</v>
      </c>
      <c r="V1783" s="3">
        <v>4</v>
      </c>
      <c r="W1783" s="3">
        <v>0</v>
      </c>
      <c r="X1783" s="3" t="s">
        <v>147</v>
      </c>
      <c r="Y1783" s="3">
        <v>0</v>
      </c>
      <c r="Z1783" s="3">
        <v>0</v>
      </c>
      <c r="AA1783" s="3">
        <v>0</v>
      </c>
      <c r="AB1783" s="3">
        <v>0</v>
      </c>
      <c r="AC1783" s="3">
        <v>5</v>
      </c>
      <c r="AD1783" s="3">
        <v>5</v>
      </c>
      <c r="AE1783" s="3">
        <v>14</v>
      </c>
      <c r="AF1783" s="3" t="s">
        <v>0</v>
      </c>
      <c r="AG1783" s="3" t="s">
        <v>0</v>
      </c>
    </row>
    <row r="1784" spans="1:33" ht="38.25" x14ac:dyDescent="0.2">
      <c r="A1784" s="4" t="str">
        <f>HYPERLINK("http://www.patentics.cn/invokexml.do?sf=ShowPatent&amp;spn=CN101227233&amp;sv=2516fcffb37db5c486faf7453d07a1fe","CN101227233")</f>
        <v>CN101227233</v>
      </c>
      <c r="B1784" s="2" t="s">
        <v>8076</v>
      </c>
      <c r="C1784" s="2" t="s">
        <v>8077</v>
      </c>
      <c r="D1784" s="2" t="s">
        <v>38</v>
      </c>
      <c r="E1784" s="2" t="s">
        <v>38</v>
      </c>
      <c r="F1784" s="2" t="s">
        <v>8078</v>
      </c>
      <c r="G1784" s="2" t="s">
        <v>7678</v>
      </c>
      <c r="H1784" s="2" t="s">
        <v>3074</v>
      </c>
      <c r="I1784" s="2" t="s">
        <v>3074</v>
      </c>
      <c r="J1784" s="2" t="s">
        <v>5532</v>
      </c>
      <c r="K1784" s="2" t="s">
        <v>84</v>
      </c>
      <c r="L1784" s="2" t="s">
        <v>1922</v>
      </c>
      <c r="M1784" s="2" t="s">
        <v>58</v>
      </c>
      <c r="N1784" s="2" t="s">
        <v>5806</v>
      </c>
      <c r="O1784" s="2">
        <v>12</v>
      </c>
      <c r="P1784" s="2">
        <v>24</v>
      </c>
      <c r="Q1784" s="2" t="s">
        <v>46</v>
      </c>
      <c r="R1784" s="2" t="s">
        <v>47</v>
      </c>
      <c r="S1784" s="2">
        <v>0</v>
      </c>
      <c r="T1784" s="2">
        <v>0</v>
      </c>
      <c r="U1784" s="2">
        <v>0</v>
      </c>
      <c r="V1784" s="2">
        <v>0</v>
      </c>
      <c r="W1784" s="2">
        <v>22</v>
      </c>
      <c r="X1784" s="2" t="s">
        <v>8079</v>
      </c>
      <c r="Y1784" s="2">
        <v>4</v>
      </c>
      <c r="Z1784" s="2">
        <v>18</v>
      </c>
      <c r="AA1784" s="2">
        <v>5</v>
      </c>
      <c r="AB1784" s="2">
        <v>3</v>
      </c>
      <c r="AC1784" s="2">
        <v>1</v>
      </c>
      <c r="AD1784" s="2">
        <v>1</v>
      </c>
      <c r="AE1784" s="2" t="s">
        <v>0</v>
      </c>
      <c r="AF1784" s="2">
        <v>1</v>
      </c>
      <c r="AG1784" s="2" t="s">
        <v>49</v>
      </c>
    </row>
    <row r="1785" spans="1:33" ht="127.5" x14ac:dyDescent="0.2">
      <c r="A1785" s="5" t="str">
        <f>HYPERLINK("http://www.patentics.cn/invokexml.do?sf=ShowPatent&amp;spn=US9106389&amp;sv=8574147769e98ebcabff3517c0c1b47d","US9106389")</f>
        <v>US9106389</v>
      </c>
      <c r="B1785" s="3" t="s">
        <v>7997</v>
      </c>
      <c r="C1785" s="3" t="s">
        <v>7998</v>
      </c>
      <c r="D1785" s="3" t="s">
        <v>52</v>
      </c>
      <c r="E1785" s="3" t="s">
        <v>52</v>
      </c>
      <c r="F1785" s="3" t="s">
        <v>7999</v>
      </c>
      <c r="G1785" s="3" t="s">
        <v>3800</v>
      </c>
      <c r="H1785" s="3" t="s">
        <v>1191</v>
      </c>
      <c r="I1785" s="3" t="s">
        <v>4762</v>
      </c>
      <c r="J1785" s="3" t="s">
        <v>927</v>
      </c>
      <c r="K1785" s="3" t="s">
        <v>58</v>
      </c>
      <c r="L1785" s="3" t="s">
        <v>188</v>
      </c>
      <c r="M1785" s="3" t="s">
        <v>0</v>
      </c>
      <c r="N1785" s="3" t="s">
        <v>0</v>
      </c>
      <c r="O1785" s="3">
        <v>0</v>
      </c>
      <c r="P1785" s="3">
        <v>9</v>
      </c>
      <c r="Q1785" s="3" t="s">
        <v>60</v>
      </c>
      <c r="R1785" s="3" t="s">
        <v>61</v>
      </c>
      <c r="S1785" s="3">
        <v>17</v>
      </c>
      <c r="T1785" s="3">
        <v>4</v>
      </c>
      <c r="U1785" s="3">
        <v>13</v>
      </c>
      <c r="V1785" s="3">
        <v>9</v>
      </c>
      <c r="W1785" s="3">
        <v>0</v>
      </c>
      <c r="X1785" s="3" t="s">
        <v>147</v>
      </c>
      <c r="Y1785" s="3">
        <v>0</v>
      </c>
      <c r="Z1785" s="3">
        <v>0</v>
      </c>
      <c r="AA1785" s="3">
        <v>0</v>
      </c>
      <c r="AB1785" s="3">
        <v>0</v>
      </c>
      <c r="AC1785" s="3">
        <v>7</v>
      </c>
      <c r="AD1785" s="3">
        <v>6</v>
      </c>
      <c r="AE1785" s="3">
        <v>14</v>
      </c>
      <c r="AF1785" s="3" t="s">
        <v>0</v>
      </c>
      <c r="AG1785" s="3" t="s">
        <v>49</v>
      </c>
    </row>
    <row r="1786" spans="1:33" ht="25.5" x14ac:dyDescent="0.2">
      <c r="A1786" s="4" t="str">
        <f>HYPERLINK("http://www.patentics.cn/invokexml.do?sf=ShowPatent&amp;spn=CN101227726&amp;sv=1174393bd61f1bd2bd9db7acf14218c9","CN101227726")</f>
        <v>CN101227726</v>
      </c>
      <c r="B1786" s="2" t="s">
        <v>8080</v>
      </c>
      <c r="C1786" s="2" t="s">
        <v>8081</v>
      </c>
      <c r="D1786" s="2" t="s">
        <v>38</v>
      </c>
      <c r="E1786" s="2" t="s">
        <v>38</v>
      </c>
      <c r="F1786" s="2" t="s">
        <v>8082</v>
      </c>
      <c r="G1786" s="2" t="s">
        <v>8083</v>
      </c>
      <c r="H1786" s="2" t="s">
        <v>8084</v>
      </c>
      <c r="I1786" s="2" t="s">
        <v>8084</v>
      </c>
      <c r="J1786" s="2" t="s">
        <v>5532</v>
      </c>
      <c r="K1786" s="2" t="s">
        <v>43</v>
      </c>
      <c r="L1786" s="2" t="s">
        <v>2591</v>
      </c>
      <c r="M1786" s="2" t="s">
        <v>43</v>
      </c>
      <c r="N1786" s="2" t="s">
        <v>45</v>
      </c>
      <c r="O1786" s="2">
        <v>11</v>
      </c>
      <c r="P1786" s="2">
        <v>10</v>
      </c>
      <c r="Q1786" s="2" t="s">
        <v>46</v>
      </c>
      <c r="R1786" s="2" t="s">
        <v>47</v>
      </c>
      <c r="S1786" s="2">
        <v>0</v>
      </c>
      <c r="T1786" s="2">
        <v>0</v>
      </c>
      <c r="U1786" s="2">
        <v>0</v>
      </c>
      <c r="V1786" s="2">
        <v>0</v>
      </c>
      <c r="W1786" s="2">
        <v>9</v>
      </c>
      <c r="X1786" s="2" t="s">
        <v>4683</v>
      </c>
      <c r="Y1786" s="2">
        <v>4</v>
      </c>
      <c r="Z1786" s="2">
        <v>5</v>
      </c>
      <c r="AA1786" s="2">
        <v>6</v>
      </c>
      <c r="AB1786" s="2">
        <v>3</v>
      </c>
      <c r="AC1786" s="2">
        <v>1</v>
      </c>
      <c r="AD1786" s="2">
        <v>1</v>
      </c>
      <c r="AE1786" s="2" t="s">
        <v>0</v>
      </c>
      <c r="AF1786" s="2">
        <v>1</v>
      </c>
      <c r="AG1786" s="2" t="s">
        <v>49</v>
      </c>
    </row>
    <row r="1787" spans="1:33" ht="127.5" x14ac:dyDescent="0.2">
      <c r="A1787" s="5" t="str">
        <f>HYPERLINK("http://www.patentics.cn/invokexml.do?sf=ShowPatent&amp;spn=US9614641&amp;sv=6b259b51e63f0a8cc5982998210e3fb8","US9614641")</f>
        <v>US9614641</v>
      </c>
      <c r="B1787" s="3" t="s">
        <v>8085</v>
      </c>
      <c r="C1787" s="3" t="s">
        <v>8086</v>
      </c>
      <c r="D1787" s="3" t="s">
        <v>52</v>
      </c>
      <c r="E1787" s="3" t="s">
        <v>52</v>
      </c>
      <c r="F1787" s="3" t="s">
        <v>8087</v>
      </c>
      <c r="G1787" s="3" t="s">
        <v>2822</v>
      </c>
      <c r="H1787" s="3" t="s">
        <v>0</v>
      </c>
      <c r="I1787" s="3" t="s">
        <v>8088</v>
      </c>
      <c r="J1787" s="3" t="s">
        <v>2990</v>
      </c>
      <c r="K1787" s="3" t="s">
        <v>555</v>
      </c>
      <c r="L1787" s="3" t="s">
        <v>556</v>
      </c>
      <c r="M1787" s="3" t="s">
        <v>58</v>
      </c>
      <c r="N1787" s="3" t="s">
        <v>8089</v>
      </c>
      <c r="O1787" s="3">
        <v>0</v>
      </c>
      <c r="P1787" s="3">
        <v>13</v>
      </c>
      <c r="Q1787" s="3" t="s">
        <v>60</v>
      </c>
      <c r="R1787" s="3" t="s">
        <v>61</v>
      </c>
      <c r="S1787" s="3">
        <v>42</v>
      </c>
      <c r="T1787" s="3">
        <v>7</v>
      </c>
      <c r="U1787" s="3">
        <v>35</v>
      </c>
      <c r="V1787" s="3">
        <v>21</v>
      </c>
      <c r="W1787" s="3">
        <v>0</v>
      </c>
      <c r="X1787" s="3" t="s">
        <v>147</v>
      </c>
      <c r="Y1787" s="3">
        <v>0</v>
      </c>
      <c r="Z1787" s="3">
        <v>0</v>
      </c>
      <c r="AA1787" s="3">
        <v>0</v>
      </c>
      <c r="AB1787" s="3">
        <v>0</v>
      </c>
      <c r="AC1787" s="3">
        <v>0</v>
      </c>
      <c r="AD1787" s="3">
        <v>0</v>
      </c>
      <c r="AE1787" s="3">
        <v>14</v>
      </c>
      <c r="AF1787" s="3" t="s">
        <v>0</v>
      </c>
      <c r="AG1787" s="3" t="s">
        <v>49</v>
      </c>
    </row>
    <row r="1788" spans="1:33" ht="25.5" x14ac:dyDescent="0.2">
      <c r="A1788" s="4" t="str">
        <f>HYPERLINK("http://www.patentics.cn/invokexml.do?sf=ShowPatent&amp;spn=CN101222767&amp;sv=f341ed0b69a86df17a1fa0d59bf7e051","CN101222767")</f>
        <v>CN101222767</v>
      </c>
      <c r="B1788" s="2" t="s">
        <v>8090</v>
      </c>
      <c r="C1788" s="2" t="s">
        <v>8091</v>
      </c>
      <c r="D1788" s="2" t="s">
        <v>38</v>
      </c>
      <c r="E1788" s="2" t="s">
        <v>38</v>
      </c>
      <c r="F1788" s="2" t="s">
        <v>8092</v>
      </c>
      <c r="G1788" s="2" t="s">
        <v>8093</v>
      </c>
      <c r="H1788" s="2" t="s">
        <v>8094</v>
      </c>
      <c r="I1788" s="2" t="s">
        <v>8094</v>
      </c>
      <c r="J1788" s="2" t="s">
        <v>2977</v>
      </c>
      <c r="K1788" s="2" t="s">
        <v>43</v>
      </c>
      <c r="L1788" s="2" t="s">
        <v>2591</v>
      </c>
      <c r="M1788" s="2" t="s">
        <v>58</v>
      </c>
      <c r="N1788" s="2" t="s">
        <v>8095</v>
      </c>
      <c r="O1788" s="2">
        <v>13</v>
      </c>
      <c r="P1788" s="2">
        <v>17</v>
      </c>
      <c r="Q1788" s="2" t="s">
        <v>46</v>
      </c>
      <c r="R1788" s="2" t="s">
        <v>47</v>
      </c>
      <c r="S1788" s="2">
        <v>0</v>
      </c>
      <c r="T1788" s="2">
        <v>0</v>
      </c>
      <c r="U1788" s="2">
        <v>0</v>
      </c>
      <c r="V1788" s="2">
        <v>0</v>
      </c>
      <c r="W1788" s="2">
        <v>2</v>
      </c>
      <c r="X1788" s="2" t="s">
        <v>7116</v>
      </c>
      <c r="Y1788" s="2">
        <v>0</v>
      </c>
      <c r="Z1788" s="2">
        <v>2</v>
      </c>
      <c r="AA1788" s="2">
        <v>2</v>
      </c>
      <c r="AB1788" s="2">
        <v>2</v>
      </c>
      <c r="AC1788" s="2">
        <v>1</v>
      </c>
      <c r="AD1788" s="2">
        <v>1</v>
      </c>
      <c r="AE1788" s="2" t="s">
        <v>0</v>
      </c>
      <c r="AF1788" s="2">
        <v>1</v>
      </c>
      <c r="AG1788" s="2" t="s">
        <v>49</v>
      </c>
    </row>
    <row r="1789" spans="1:33" ht="38.25" x14ac:dyDescent="0.2">
      <c r="A1789" s="5" t="str">
        <f>HYPERLINK("http://www.patentics.cn/invokexml.do?sf=ShowPatent&amp;spn=US9185596&amp;sv=b855929d76a81fd7d2f85163baa616d4","US9185596")</f>
        <v>US9185596</v>
      </c>
      <c r="B1789" s="3" t="s">
        <v>8096</v>
      </c>
      <c r="C1789" s="3" t="s">
        <v>8097</v>
      </c>
      <c r="D1789" s="3" t="s">
        <v>52</v>
      </c>
      <c r="E1789" s="3" t="s">
        <v>52</v>
      </c>
      <c r="F1789" s="3" t="s">
        <v>8098</v>
      </c>
      <c r="G1789" s="3" t="s">
        <v>8099</v>
      </c>
      <c r="H1789" s="3" t="s">
        <v>2989</v>
      </c>
      <c r="I1789" s="3" t="s">
        <v>2989</v>
      </c>
      <c r="J1789" s="3" t="s">
        <v>277</v>
      </c>
      <c r="K1789" s="3" t="s">
        <v>82</v>
      </c>
      <c r="L1789" s="3" t="s">
        <v>3207</v>
      </c>
      <c r="M1789" s="3" t="s">
        <v>82</v>
      </c>
      <c r="N1789" s="3" t="s">
        <v>3208</v>
      </c>
      <c r="O1789" s="3">
        <v>0</v>
      </c>
      <c r="P1789" s="3">
        <v>16</v>
      </c>
      <c r="Q1789" s="3" t="s">
        <v>60</v>
      </c>
      <c r="R1789" s="3" t="s">
        <v>47</v>
      </c>
      <c r="S1789" s="3">
        <v>15</v>
      </c>
      <c r="T1789" s="3">
        <v>5</v>
      </c>
      <c r="U1789" s="3">
        <v>10</v>
      </c>
      <c r="V1789" s="3">
        <v>4</v>
      </c>
      <c r="W1789" s="3">
        <v>0</v>
      </c>
      <c r="X1789" s="3" t="s">
        <v>147</v>
      </c>
      <c r="Y1789" s="3">
        <v>0</v>
      </c>
      <c r="Z1789" s="3">
        <v>0</v>
      </c>
      <c r="AA1789" s="3">
        <v>0</v>
      </c>
      <c r="AB1789" s="3">
        <v>0</v>
      </c>
      <c r="AC1789" s="3">
        <v>2</v>
      </c>
      <c r="AD1789" s="3">
        <v>2</v>
      </c>
      <c r="AE1789" s="3">
        <v>14</v>
      </c>
      <c r="AF1789" s="3" t="s">
        <v>0</v>
      </c>
      <c r="AG1789" s="3" t="s">
        <v>49</v>
      </c>
    </row>
    <row r="1790" spans="1:33" ht="51" x14ac:dyDescent="0.2">
      <c r="A1790" s="4" t="str">
        <f>HYPERLINK("http://www.patentics.cn/invokexml.do?sf=ShowPatent&amp;spn=CN101222765&amp;sv=1bd254aa6747073250977445d0344149","CN101222765")</f>
        <v>CN101222765</v>
      </c>
      <c r="B1790" s="2" t="s">
        <v>8100</v>
      </c>
      <c r="C1790" s="2" t="s">
        <v>8101</v>
      </c>
      <c r="D1790" s="2" t="s">
        <v>38</v>
      </c>
      <c r="E1790" s="2" t="s">
        <v>38</v>
      </c>
      <c r="F1790" s="2" t="s">
        <v>8102</v>
      </c>
      <c r="G1790" s="2" t="s">
        <v>8103</v>
      </c>
      <c r="H1790" s="2" t="s">
        <v>3413</v>
      </c>
      <c r="I1790" s="2" t="s">
        <v>3413</v>
      </c>
      <c r="J1790" s="2" t="s">
        <v>2977</v>
      </c>
      <c r="K1790" s="2" t="s">
        <v>43</v>
      </c>
      <c r="L1790" s="2" t="s">
        <v>2591</v>
      </c>
      <c r="M1790" s="2" t="s">
        <v>43</v>
      </c>
      <c r="N1790" s="2" t="s">
        <v>2146</v>
      </c>
      <c r="O1790" s="2">
        <v>19</v>
      </c>
      <c r="P1790" s="2">
        <v>19</v>
      </c>
      <c r="Q1790" s="2" t="s">
        <v>46</v>
      </c>
      <c r="R1790" s="2" t="s">
        <v>47</v>
      </c>
      <c r="S1790" s="2">
        <v>0</v>
      </c>
      <c r="T1790" s="2">
        <v>0</v>
      </c>
      <c r="U1790" s="2">
        <v>0</v>
      </c>
      <c r="V1790" s="2">
        <v>0</v>
      </c>
      <c r="W1790" s="2">
        <v>50</v>
      </c>
      <c r="X1790" s="2" t="s">
        <v>8104</v>
      </c>
      <c r="Y1790" s="2">
        <v>8</v>
      </c>
      <c r="Z1790" s="2">
        <v>42</v>
      </c>
      <c r="AA1790" s="2">
        <v>7</v>
      </c>
      <c r="AB1790" s="2">
        <v>6</v>
      </c>
      <c r="AC1790" s="2">
        <v>5</v>
      </c>
      <c r="AD1790" s="2">
        <v>4</v>
      </c>
      <c r="AE1790" s="2" t="s">
        <v>0</v>
      </c>
      <c r="AF1790" s="2">
        <v>1</v>
      </c>
      <c r="AG1790" s="2" t="s">
        <v>49</v>
      </c>
    </row>
    <row r="1791" spans="1:33" ht="76.5" x14ac:dyDescent="0.2">
      <c r="A1791" s="5" t="str">
        <f>HYPERLINK("http://www.patentics.cn/invokexml.do?sf=ShowPatent&amp;spn=WO2014117364&amp;sv=36502f52764a842d5cd690b5d65ee2b1","WO2014117364")</f>
        <v>WO2014117364</v>
      </c>
      <c r="B1791" s="3" t="s">
        <v>8105</v>
      </c>
      <c r="C1791" s="3" t="s">
        <v>8106</v>
      </c>
      <c r="D1791" s="3" t="s">
        <v>8107</v>
      </c>
      <c r="E1791" s="3" t="s">
        <v>8108</v>
      </c>
      <c r="F1791" s="3" t="s">
        <v>8109</v>
      </c>
      <c r="G1791" s="3" t="s">
        <v>5659</v>
      </c>
      <c r="H1791" s="3" t="s">
        <v>0</v>
      </c>
      <c r="I1791" s="3" t="s">
        <v>2126</v>
      </c>
      <c r="J1791" s="3" t="s">
        <v>2580</v>
      </c>
      <c r="K1791" s="3" t="s">
        <v>82</v>
      </c>
      <c r="L1791" s="3" t="s">
        <v>177</v>
      </c>
      <c r="M1791" s="3" t="s">
        <v>0</v>
      </c>
      <c r="N1791" s="3" t="s">
        <v>0</v>
      </c>
      <c r="O1791" s="3">
        <v>44</v>
      </c>
      <c r="P1791" s="3">
        <v>20</v>
      </c>
      <c r="Q1791" s="3" t="s">
        <v>352</v>
      </c>
      <c r="R1791" s="3" t="s">
        <v>1387</v>
      </c>
      <c r="S1791" s="3">
        <v>4</v>
      </c>
      <c r="T1791" s="3">
        <v>0</v>
      </c>
      <c r="U1791" s="3">
        <v>4</v>
      </c>
      <c r="V1791" s="3">
        <v>4</v>
      </c>
      <c r="W1791" s="3">
        <v>0</v>
      </c>
      <c r="X1791" s="3" t="s">
        <v>147</v>
      </c>
      <c r="Y1791" s="3">
        <v>0</v>
      </c>
      <c r="Z1791" s="3">
        <v>0</v>
      </c>
      <c r="AA1791" s="3">
        <v>0</v>
      </c>
      <c r="AB1791" s="3">
        <v>0</v>
      </c>
      <c r="AC1791" s="3">
        <v>0</v>
      </c>
      <c r="AD1791" s="3">
        <v>0</v>
      </c>
      <c r="AE1791" s="3">
        <v>14</v>
      </c>
      <c r="AF1791" s="3" t="s">
        <v>0</v>
      </c>
      <c r="AG1791" s="3" t="s">
        <v>0</v>
      </c>
    </row>
    <row r="1792" spans="1:33" ht="25.5" x14ac:dyDescent="0.2">
      <c r="A1792" s="4" t="str">
        <f>HYPERLINK("http://www.patentics.cn/invokexml.do?sf=ShowPatent&amp;spn=CN101212813&amp;sv=040b1828d98e83daecba8e366f080b86","CN101212813")</f>
        <v>CN101212813</v>
      </c>
      <c r="B1792" s="2" t="s">
        <v>8110</v>
      </c>
      <c r="C1792" s="2" t="s">
        <v>8111</v>
      </c>
      <c r="D1792" s="2" t="s">
        <v>38</v>
      </c>
      <c r="E1792" s="2" t="s">
        <v>38</v>
      </c>
      <c r="F1792" s="2" t="s">
        <v>8112</v>
      </c>
      <c r="G1792" s="2" t="s">
        <v>8113</v>
      </c>
      <c r="H1792" s="2" t="s">
        <v>8114</v>
      </c>
      <c r="I1792" s="2" t="s">
        <v>8114</v>
      </c>
      <c r="J1792" s="2" t="s">
        <v>8115</v>
      </c>
      <c r="K1792" s="2" t="s">
        <v>43</v>
      </c>
      <c r="L1792" s="2" t="s">
        <v>2591</v>
      </c>
      <c r="M1792" s="2" t="s">
        <v>58</v>
      </c>
      <c r="N1792" s="2" t="s">
        <v>1785</v>
      </c>
      <c r="O1792" s="2">
        <v>12</v>
      </c>
      <c r="P1792" s="2">
        <v>28</v>
      </c>
      <c r="Q1792" s="2" t="s">
        <v>46</v>
      </c>
      <c r="R1792" s="2" t="s">
        <v>47</v>
      </c>
      <c r="S1792" s="2">
        <v>3</v>
      </c>
      <c r="T1792" s="2">
        <v>0</v>
      </c>
      <c r="U1792" s="2">
        <v>3</v>
      </c>
      <c r="V1792" s="2">
        <v>1</v>
      </c>
      <c r="W1792" s="2">
        <v>2</v>
      </c>
      <c r="X1792" s="2" t="s">
        <v>6897</v>
      </c>
      <c r="Y1792" s="2">
        <v>0</v>
      </c>
      <c r="Z1792" s="2">
        <v>2</v>
      </c>
      <c r="AA1792" s="2">
        <v>2</v>
      </c>
      <c r="AB1792" s="2">
        <v>2</v>
      </c>
      <c r="AC1792" s="2">
        <v>1</v>
      </c>
      <c r="AD1792" s="2">
        <v>1</v>
      </c>
      <c r="AE1792" s="2" t="s">
        <v>0</v>
      </c>
      <c r="AF1792" s="2">
        <v>1</v>
      </c>
      <c r="AG1792" s="2" t="s">
        <v>755</v>
      </c>
    </row>
    <row r="1793" spans="1:33" ht="140.25" x14ac:dyDescent="0.2">
      <c r="A1793" s="5" t="str">
        <f>HYPERLINK("http://www.patentics.cn/invokexml.do?sf=ShowPatent&amp;spn=US9629027&amp;sv=824df30f7aaf9a1c32eca368880c2428","US9629027")</f>
        <v>US9629027</v>
      </c>
      <c r="B1793" s="3" t="s">
        <v>8116</v>
      </c>
      <c r="C1793" s="3" t="s">
        <v>8117</v>
      </c>
      <c r="D1793" s="3" t="s">
        <v>52</v>
      </c>
      <c r="E1793" s="3" t="s">
        <v>52</v>
      </c>
      <c r="F1793" s="3" t="s">
        <v>8118</v>
      </c>
      <c r="G1793" s="3" t="s">
        <v>1470</v>
      </c>
      <c r="H1793" s="3" t="s">
        <v>0</v>
      </c>
      <c r="I1793" s="3" t="s">
        <v>8119</v>
      </c>
      <c r="J1793" s="3" t="s">
        <v>744</v>
      </c>
      <c r="K1793" s="3" t="s">
        <v>82</v>
      </c>
      <c r="L1793" s="3" t="s">
        <v>2007</v>
      </c>
      <c r="M1793" s="3" t="s">
        <v>82</v>
      </c>
      <c r="N1793" s="3" t="s">
        <v>8120</v>
      </c>
      <c r="O1793" s="3">
        <v>0</v>
      </c>
      <c r="P1793" s="3">
        <v>17</v>
      </c>
      <c r="Q1793" s="3" t="s">
        <v>60</v>
      </c>
      <c r="R1793" s="3" t="s">
        <v>61</v>
      </c>
      <c r="S1793" s="3">
        <v>16</v>
      </c>
      <c r="T1793" s="3">
        <v>4</v>
      </c>
      <c r="U1793" s="3">
        <v>12</v>
      </c>
      <c r="V1793" s="3">
        <v>10</v>
      </c>
      <c r="W1793" s="3">
        <v>0</v>
      </c>
      <c r="X1793" s="3" t="s">
        <v>147</v>
      </c>
      <c r="Y1793" s="3">
        <v>0</v>
      </c>
      <c r="Z1793" s="3">
        <v>0</v>
      </c>
      <c r="AA1793" s="3">
        <v>0</v>
      </c>
      <c r="AB1793" s="3">
        <v>0</v>
      </c>
      <c r="AC1793" s="3">
        <v>0</v>
      </c>
      <c r="AD1793" s="3">
        <v>0</v>
      </c>
      <c r="AE1793" s="3">
        <v>14</v>
      </c>
      <c r="AF1793" s="3" t="s">
        <v>0</v>
      </c>
      <c r="AG1793" s="3" t="s">
        <v>49</v>
      </c>
    </row>
    <row r="1794" spans="1:33" x14ac:dyDescent="0.2">
      <c r="A1794" s="4" t="str">
        <f>HYPERLINK("http://www.patentics.cn/invokexml.do?sf=ShowPatent&amp;spn=CN101188604&amp;sv=809a64c5beac1b4247c79de6205ace2f","CN101188604")</f>
        <v>CN101188604</v>
      </c>
      <c r="B1794" s="2" t="s">
        <v>8121</v>
      </c>
      <c r="C1794" s="2" t="s">
        <v>8122</v>
      </c>
      <c r="D1794" s="2" t="s">
        <v>38</v>
      </c>
      <c r="E1794" s="2" t="s">
        <v>38</v>
      </c>
      <c r="F1794" s="2" t="s">
        <v>8123</v>
      </c>
      <c r="G1794" s="2" t="s">
        <v>8123</v>
      </c>
      <c r="H1794" s="2" t="s">
        <v>0</v>
      </c>
      <c r="I1794" s="2" t="s">
        <v>8124</v>
      </c>
      <c r="J1794" s="2" t="s">
        <v>1579</v>
      </c>
      <c r="K1794" s="2" t="s">
        <v>58</v>
      </c>
      <c r="L1794" s="2" t="s">
        <v>722</v>
      </c>
      <c r="M1794" s="2" t="s">
        <v>58</v>
      </c>
      <c r="N1794" s="2" t="s">
        <v>6017</v>
      </c>
      <c r="O1794" s="2">
        <v>10</v>
      </c>
      <c r="P1794" s="2">
        <v>23</v>
      </c>
      <c r="Q1794" s="2" t="s">
        <v>46</v>
      </c>
      <c r="R1794" s="2" t="s">
        <v>47</v>
      </c>
      <c r="S1794" s="2">
        <v>0</v>
      </c>
      <c r="T1794" s="2">
        <v>0</v>
      </c>
      <c r="U1794" s="2">
        <v>0</v>
      </c>
      <c r="V1794" s="2">
        <v>0</v>
      </c>
      <c r="W1794" s="2">
        <v>4</v>
      </c>
      <c r="X1794" s="2" t="s">
        <v>6260</v>
      </c>
      <c r="Y1794" s="2">
        <v>1</v>
      </c>
      <c r="Z1794" s="2">
        <v>3</v>
      </c>
      <c r="AA1794" s="2">
        <v>4</v>
      </c>
      <c r="AB1794" s="2">
        <v>2</v>
      </c>
      <c r="AC1794" s="2">
        <v>0</v>
      </c>
      <c r="AD1794" s="2">
        <v>0</v>
      </c>
      <c r="AE1794" s="2" t="s">
        <v>0</v>
      </c>
      <c r="AF1794" s="2">
        <v>1</v>
      </c>
      <c r="AG1794" s="2" t="s">
        <v>547</v>
      </c>
    </row>
    <row r="1795" spans="1:33" ht="51" x14ac:dyDescent="0.2">
      <c r="A1795" s="5" t="str">
        <f>HYPERLINK("http://www.patentics.cn/invokexml.do?sf=ShowPatent&amp;spn=CN102187648B&amp;sv=9f19f61f35c5eb6d09e28aded306e1c4","CN102187648B")</f>
        <v>CN102187648B</v>
      </c>
      <c r="B1795" s="3" t="s">
        <v>8125</v>
      </c>
      <c r="C1795" s="3" t="s">
        <v>8126</v>
      </c>
      <c r="D1795" s="3" t="s">
        <v>338</v>
      </c>
      <c r="E1795" s="3" t="s">
        <v>338</v>
      </c>
      <c r="F1795" s="3" t="s">
        <v>8127</v>
      </c>
      <c r="G1795" s="3" t="s">
        <v>8128</v>
      </c>
      <c r="H1795" s="3" t="s">
        <v>4682</v>
      </c>
      <c r="I1795" s="3" t="s">
        <v>4541</v>
      </c>
      <c r="J1795" s="3" t="s">
        <v>8129</v>
      </c>
      <c r="K1795" s="3" t="s">
        <v>58</v>
      </c>
      <c r="L1795" s="3" t="s">
        <v>722</v>
      </c>
      <c r="M1795" s="3" t="s">
        <v>0</v>
      </c>
      <c r="N1795" s="3" t="s">
        <v>0</v>
      </c>
      <c r="O1795" s="3">
        <v>29</v>
      </c>
      <c r="P1795" s="3">
        <v>15</v>
      </c>
      <c r="Q1795" s="3" t="s">
        <v>60</v>
      </c>
      <c r="R1795" s="3" t="s">
        <v>61</v>
      </c>
      <c r="S1795" s="3">
        <v>4</v>
      </c>
      <c r="T1795" s="3">
        <v>0</v>
      </c>
      <c r="U1795" s="3">
        <v>4</v>
      </c>
      <c r="V1795" s="3">
        <v>4</v>
      </c>
      <c r="W1795" s="3">
        <v>0</v>
      </c>
      <c r="X1795" s="3" t="s">
        <v>147</v>
      </c>
      <c r="Y1795" s="3">
        <v>0</v>
      </c>
      <c r="Z1795" s="3">
        <v>0</v>
      </c>
      <c r="AA1795" s="3">
        <v>0</v>
      </c>
      <c r="AB1795" s="3">
        <v>0</v>
      </c>
      <c r="AC1795" s="3">
        <v>10</v>
      </c>
      <c r="AD1795" s="3">
        <v>7</v>
      </c>
      <c r="AE1795" s="3">
        <v>14</v>
      </c>
      <c r="AF1795" s="3" t="s">
        <v>0</v>
      </c>
      <c r="AG1795" s="3" t="s">
        <v>49</v>
      </c>
    </row>
    <row r="1796" spans="1:33" ht="25.5" x14ac:dyDescent="0.2">
      <c r="A1796" s="4" t="str">
        <f>HYPERLINK("http://www.patentics.cn/invokexml.do?sf=ShowPatent&amp;spn=CN101179352&amp;sv=6b86ea5242798ae3efeaea6f711756f7","CN101179352")</f>
        <v>CN101179352</v>
      </c>
      <c r="B1796" s="2" t="s">
        <v>8130</v>
      </c>
      <c r="C1796" s="2" t="s">
        <v>8131</v>
      </c>
      <c r="D1796" s="2" t="s">
        <v>38</v>
      </c>
      <c r="E1796" s="2" t="s">
        <v>38</v>
      </c>
      <c r="F1796" s="2" t="s">
        <v>5567</v>
      </c>
      <c r="G1796" s="2" t="s">
        <v>2892</v>
      </c>
      <c r="H1796" s="2" t="s">
        <v>0</v>
      </c>
      <c r="I1796" s="2" t="s">
        <v>5568</v>
      </c>
      <c r="J1796" s="2" t="s">
        <v>3863</v>
      </c>
      <c r="K1796" s="2" t="s">
        <v>70</v>
      </c>
      <c r="L1796" s="2" t="s">
        <v>2535</v>
      </c>
      <c r="M1796" s="2" t="s">
        <v>58</v>
      </c>
      <c r="N1796" s="2" t="s">
        <v>1785</v>
      </c>
      <c r="O1796" s="2">
        <v>9</v>
      </c>
      <c r="P1796" s="2">
        <v>29</v>
      </c>
      <c r="Q1796" s="2" t="s">
        <v>46</v>
      </c>
      <c r="R1796" s="2" t="s">
        <v>47</v>
      </c>
      <c r="S1796" s="2">
        <v>0</v>
      </c>
      <c r="T1796" s="2">
        <v>0</v>
      </c>
      <c r="U1796" s="2">
        <v>0</v>
      </c>
      <c r="V1796" s="2">
        <v>0</v>
      </c>
      <c r="W1796" s="2">
        <v>5</v>
      </c>
      <c r="X1796" s="2" t="s">
        <v>5380</v>
      </c>
      <c r="Y1796" s="2">
        <v>3</v>
      </c>
      <c r="Z1796" s="2">
        <v>2</v>
      </c>
      <c r="AA1796" s="2">
        <v>3</v>
      </c>
      <c r="AB1796" s="2">
        <v>2</v>
      </c>
      <c r="AC1796" s="2">
        <v>0</v>
      </c>
      <c r="AD1796" s="2">
        <v>0</v>
      </c>
      <c r="AE1796" s="2" t="s">
        <v>0</v>
      </c>
      <c r="AF1796" s="2">
        <v>1</v>
      </c>
      <c r="AG1796" s="2" t="s">
        <v>2523</v>
      </c>
    </row>
    <row r="1797" spans="1:33" ht="63.75" x14ac:dyDescent="0.2">
      <c r="A1797" s="5" t="str">
        <f>HYPERLINK("http://www.patentics.cn/invokexml.do?sf=ShowPatent&amp;spn=CN103069735B&amp;sv=6ecb258256807aef262604df3e728be3","CN103069735B")</f>
        <v>CN103069735B</v>
      </c>
      <c r="B1797" s="3" t="s">
        <v>8132</v>
      </c>
      <c r="C1797" s="3" t="s">
        <v>8133</v>
      </c>
      <c r="D1797" s="3" t="s">
        <v>338</v>
      </c>
      <c r="E1797" s="3" t="s">
        <v>338</v>
      </c>
      <c r="F1797" s="3" t="s">
        <v>8134</v>
      </c>
      <c r="G1797" s="3" t="s">
        <v>8135</v>
      </c>
      <c r="H1797" s="3" t="s">
        <v>3181</v>
      </c>
      <c r="I1797" s="3" t="s">
        <v>5235</v>
      </c>
      <c r="J1797" s="3" t="s">
        <v>3743</v>
      </c>
      <c r="K1797" s="3" t="s">
        <v>58</v>
      </c>
      <c r="L1797" s="3" t="s">
        <v>450</v>
      </c>
      <c r="M1797" s="3" t="s">
        <v>0</v>
      </c>
      <c r="N1797" s="3" t="s">
        <v>0</v>
      </c>
      <c r="O1797" s="3">
        <v>24</v>
      </c>
      <c r="P1797" s="3">
        <v>17</v>
      </c>
      <c r="Q1797" s="3" t="s">
        <v>60</v>
      </c>
      <c r="R1797" s="3" t="s">
        <v>61</v>
      </c>
      <c r="S1797" s="3">
        <v>1</v>
      </c>
      <c r="T1797" s="3">
        <v>0</v>
      </c>
      <c r="U1797" s="3">
        <v>1</v>
      </c>
      <c r="V1797" s="3">
        <v>1</v>
      </c>
      <c r="W1797" s="3">
        <v>0</v>
      </c>
      <c r="X1797" s="3" t="s">
        <v>147</v>
      </c>
      <c r="Y1797" s="3">
        <v>0</v>
      </c>
      <c r="Z1797" s="3">
        <v>0</v>
      </c>
      <c r="AA1797" s="3">
        <v>0</v>
      </c>
      <c r="AB1797" s="3">
        <v>0</v>
      </c>
      <c r="AC1797" s="3">
        <v>0</v>
      </c>
      <c r="AD1797" s="3">
        <v>0</v>
      </c>
      <c r="AE1797" s="3">
        <v>14</v>
      </c>
      <c r="AF1797" s="3" t="s">
        <v>0</v>
      </c>
      <c r="AG1797" s="3" t="s">
        <v>49</v>
      </c>
    </row>
    <row r="1798" spans="1:33" ht="38.25" x14ac:dyDescent="0.2">
      <c r="A1798" s="4" t="str">
        <f>HYPERLINK("http://www.patentics.cn/invokexml.do?sf=ShowPatent&amp;spn=CN101170332&amp;sv=6389a161d146e4f5f78a10d16617b582","CN101170332")</f>
        <v>CN101170332</v>
      </c>
      <c r="B1798" s="2" t="s">
        <v>8136</v>
      </c>
      <c r="C1798" s="2" t="s">
        <v>8137</v>
      </c>
      <c r="D1798" s="2" t="s">
        <v>38</v>
      </c>
      <c r="E1798" s="2" t="s">
        <v>38</v>
      </c>
      <c r="F1798" s="2" t="s">
        <v>8138</v>
      </c>
      <c r="G1798" s="2" t="s">
        <v>8139</v>
      </c>
      <c r="H1798" s="2" t="s">
        <v>8140</v>
      </c>
      <c r="I1798" s="2" t="s">
        <v>8140</v>
      </c>
      <c r="J1798" s="2" t="s">
        <v>492</v>
      </c>
      <c r="K1798" s="2" t="s">
        <v>84</v>
      </c>
      <c r="L1798" s="2" t="s">
        <v>537</v>
      </c>
      <c r="M1798" s="2" t="s">
        <v>84</v>
      </c>
      <c r="N1798" s="2" t="s">
        <v>2063</v>
      </c>
      <c r="O1798" s="2">
        <v>9</v>
      </c>
      <c r="P1798" s="2">
        <v>13</v>
      </c>
      <c r="Q1798" s="2" t="s">
        <v>46</v>
      </c>
      <c r="R1798" s="2" t="s">
        <v>47</v>
      </c>
      <c r="S1798" s="2">
        <v>0</v>
      </c>
      <c r="T1798" s="2">
        <v>0</v>
      </c>
      <c r="U1798" s="2">
        <v>0</v>
      </c>
      <c r="V1798" s="2">
        <v>0</v>
      </c>
      <c r="W1798" s="2">
        <v>2</v>
      </c>
      <c r="X1798" s="2" t="s">
        <v>8141</v>
      </c>
      <c r="Y1798" s="2">
        <v>1</v>
      </c>
      <c r="Z1798" s="2">
        <v>1</v>
      </c>
      <c r="AA1798" s="2">
        <v>2</v>
      </c>
      <c r="AB1798" s="2">
        <v>2</v>
      </c>
      <c r="AC1798" s="2">
        <v>1</v>
      </c>
      <c r="AD1798" s="2">
        <v>1</v>
      </c>
      <c r="AE1798" s="2" t="s">
        <v>0</v>
      </c>
      <c r="AF1798" s="2">
        <v>1</v>
      </c>
      <c r="AG1798" s="2" t="s">
        <v>49</v>
      </c>
    </row>
    <row r="1799" spans="1:33" ht="153" x14ac:dyDescent="0.2">
      <c r="A1799" s="5" t="str">
        <f>HYPERLINK("http://www.patentics.cn/invokexml.do?sf=ShowPatent&amp;spn=CN102461284B&amp;sv=02ddc0b5572e49fc402558ebd5c43340","CN102461284B")</f>
        <v>CN102461284B</v>
      </c>
      <c r="B1799" s="3" t="s">
        <v>8142</v>
      </c>
      <c r="C1799" s="3" t="s">
        <v>8143</v>
      </c>
      <c r="D1799" s="3" t="s">
        <v>338</v>
      </c>
      <c r="E1799" s="3" t="s">
        <v>338</v>
      </c>
      <c r="F1799" s="3" t="s">
        <v>8144</v>
      </c>
      <c r="G1799" s="3" t="s">
        <v>8145</v>
      </c>
      <c r="H1799" s="3" t="s">
        <v>3773</v>
      </c>
      <c r="I1799" s="3" t="s">
        <v>2077</v>
      </c>
      <c r="J1799" s="3" t="s">
        <v>5039</v>
      </c>
      <c r="K1799" s="3" t="s">
        <v>82</v>
      </c>
      <c r="L1799" s="3" t="s">
        <v>8146</v>
      </c>
      <c r="M1799" s="3" t="s">
        <v>0</v>
      </c>
      <c r="N1799" s="3" t="s">
        <v>0</v>
      </c>
      <c r="O1799" s="3">
        <v>29</v>
      </c>
      <c r="P1799" s="3">
        <v>15</v>
      </c>
      <c r="Q1799" s="3" t="s">
        <v>60</v>
      </c>
      <c r="R1799" s="3" t="s">
        <v>61</v>
      </c>
      <c r="S1799" s="3">
        <v>2</v>
      </c>
      <c r="T1799" s="3">
        <v>0</v>
      </c>
      <c r="U1799" s="3">
        <v>2</v>
      </c>
      <c r="V1799" s="3">
        <v>2</v>
      </c>
      <c r="W1799" s="3">
        <v>6</v>
      </c>
      <c r="X1799" s="3" t="s">
        <v>147</v>
      </c>
      <c r="Y1799" s="3">
        <v>0</v>
      </c>
      <c r="Z1799" s="3">
        <v>6</v>
      </c>
      <c r="AA1799" s="3">
        <v>0</v>
      </c>
      <c r="AB1799" s="3">
        <v>1</v>
      </c>
      <c r="AC1799" s="3">
        <v>12</v>
      </c>
      <c r="AD1799" s="3">
        <v>10</v>
      </c>
      <c r="AE1799" s="3">
        <v>14</v>
      </c>
      <c r="AF1799" s="3" t="s">
        <v>0</v>
      </c>
      <c r="AG1799" s="3" t="s">
        <v>49</v>
      </c>
    </row>
    <row r="1800" spans="1:33" ht="25.5" x14ac:dyDescent="0.2">
      <c r="A1800" s="4" t="str">
        <f>HYPERLINK("http://www.patentics.cn/invokexml.do?sf=ShowPatent&amp;spn=CN101170777&amp;sv=169a7a4e659d88a3047165a0ba7c67fa","CN101170777")</f>
        <v>CN101170777</v>
      </c>
      <c r="B1800" s="2" t="s">
        <v>8147</v>
      </c>
      <c r="C1800" s="2" t="s">
        <v>8148</v>
      </c>
      <c r="D1800" s="2" t="s">
        <v>38</v>
      </c>
      <c r="E1800" s="2" t="s">
        <v>38</v>
      </c>
      <c r="F1800" s="2" t="s">
        <v>8149</v>
      </c>
      <c r="G1800" s="2" t="s">
        <v>8150</v>
      </c>
      <c r="H1800" s="2" t="s">
        <v>0</v>
      </c>
      <c r="I1800" s="2" t="s">
        <v>8151</v>
      </c>
      <c r="J1800" s="2" t="s">
        <v>492</v>
      </c>
      <c r="K1800" s="2" t="s">
        <v>43</v>
      </c>
      <c r="L1800" s="2" t="s">
        <v>2062</v>
      </c>
      <c r="M1800" s="2" t="s">
        <v>555</v>
      </c>
      <c r="N1800" s="2" t="s">
        <v>2101</v>
      </c>
      <c r="O1800" s="2">
        <v>6</v>
      </c>
      <c r="P1800" s="2">
        <v>19</v>
      </c>
      <c r="Q1800" s="2" t="s">
        <v>46</v>
      </c>
      <c r="R1800" s="2" t="s">
        <v>47</v>
      </c>
      <c r="S1800" s="2">
        <v>0</v>
      </c>
      <c r="T1800" s="2">
        <v>0</v>
      </c>
      <c r="U1800" s="2">
        <v>0</v>
      </c>
      <c r="V1800" s="2">
        <v>0</v>
      </c>
      <c r="W1800" s="2">
        <v>3</v>
      </c>
      <c r="X1800" s="2" t="s">
        <v>2303</v>
      </c>
      <c r="Y1800" s="2">
        <v>0</v>
      </c>
      <c r="Z1800" s="2">
        <v>3</v>
      </c>
      <c r="AA1800" s="2">
        <v>3</v>
      </c>
      <c r="AB1800" s="2">
        <v>1</v>
      </c>
      <c r="AC1800" s="2">
        <v>0</v>
      </c>
      <c r="AD1800" s="2">
        <v>0</v>
      </c>
      <c r="AE1800" s="2" t="s">
        <v>0</v>
      </c>
      <c r="AF1800" s="2">
        <v>1</v>
      </c>
      <c r="AG1800" s="2" t="s">
        <v>547</v>
      </c>
    </row>
    <row r="1801" spans="1:33" ht="102" x14ac:dyDescent="0.2">
      <c r="A1801" s="5" t="str">
        <f>HYPERLINK("http://www.patentics.cn/invokexml.do?sf=ShowPatent&amp;spn=CN102124454B&amp;sv=cd1676ef0242370a68196cbe9be9f4d8","CN102124454B")</f>
        <v>CN102124454B</v>
      </c>
      <c r="B1801" s="3" t="s">
        <v>8152</v>
      </c>
      <c r="C1801" s="3" t="s">
        <v>8153</v>
      </c>
      <c r="D1801" s="3" t="s">
        <v>338</v>
      </c>
      <c r="E1801" s="3" t="s">
        <v>338</v>
      </c>
      <c r="F1801" s="3" t="s">
        <v>8154</v>
      </c>
      <c r="G1801" s="3" t="s">
        <v>8155</v>
      </c>
      <c r="H1801" s="3" t="s">
        <v>2746</v>
      </c>
      <c r="I1801" s="3" t="s">
        <v>8156</v>
      </c>
      <c r="J1801" s="3" t="s">
        <v>2971</v>
      </c>
      <c r="K1801" s="3" t="s">
        <v>555</v>
      </c>
      <c r="L1801" s="3" t="s">
        <v>8157</v>
      </c>
      <c r="M1801" s="3" t="s">
        <v>0</v>
      </c>
      <c r="N1801" s="3" t="s">
        <v>0</v>
      </c>
      <c r="O1801" s="3">
        <v>18</v>
      </c>
      <c r="P1801" s="3">
        <v>14</v>
      </c>
      <c r="Q1801" s="3" t="s">
        <v>60</v>
      </c>
      <c r="R1801" s="3" t="s">
        <v>61</v>
      </c>
      <c r="S1801" s="3">
        <v>10</v>
      </c>
      <c r="T1801" s="3">
        <v>1</v>
      </c>
      <c r="U1801" s="3">
        <v>9</v>
      </c>
      <c r="V1801" s="3">
        <v>10</v>
      </c>
      <c r="W1801" s="3">
        <v>0</v>
      </c>
      <c r="X1801" s="3" t="s">
        <v>147</v>
      </c>
      <c r="Y1801" s="3">
        <v>0</v>
      </c>
      <c r="Z1801" s="3">
        <v>0</v>
      </c>
      <c r="AA1801" s="3">
        <v>0</v>
      </c>
      <c r="AB1801" s="3">
        <v>0</v>
      </c>
      <c r="AC1801" s="3">
        <v>10</v>
      </c>
      <c r="AD1801" s="3">
        <v>7</v>
      </c>
      <c r="AE1801" s="3">
        <v>14</v>
      </c>
      <c r="AF1801" s="3" t="s">
        <v>0</v>
      </c>
      <c r="AG1801" s="3" t="s">
        <v>49</v>
      </c>
    </row>
    <row r="1802" spans="1:33" ht="25.5" x14ac:dyDescent="0.2">
      <c r="A1802" s="4" t="str">
        <f>HYPERLINK("http://www.patentics.cn/invokexml.do?sf=ShowPatent&amp;spn=CN101163095&amp;sv=cca35f49d7b359652d4e3ff6ee7fc476","CN101163095")</f>
        <v>CN101163095</v>
      </c>
      <c r="B1802" s="2" t="s">
        <v>8158</v>
      </c>
      <c r="C1802" s="2" t="s">
        <v>8159</v>
      </c>
      <c r="D1802" s="2" t="s">
        <v>38</v>
      </c>
      <c r="E1802" s="2" t="s">
        <v>38</v>
      </c>
      <c r="F1802" s="2" t="s">
        <v>8160</v>
      </c>
      <c r="G1802" s="2" t="s">
        <v>8161</v>
      </c>
      <c r="H1802" s="2" t="s">
        <v>791</v>
      </c>
      <c r="I1802" s="2" t="s">
        <v>791</v>
      </c>
      <c r="J1802" s="2" t="s">
        <v>3631</v>
      </c>
      <c r="K1802" s="2" t="s">
        <v>58</v>
      </c>
      <c r="L1802" s="2" t="s">
        <v>1236</v>
      </c>
      <c r="M1802" s="2" t="s">
        <v>58</v>
      </c>
      <c r="N1802" s="2" t="s">
        <v>1785</v>
      </c>
      <c r="O1802" s="2">
        <v>8</v>
      </c>
      <c r="P1802" s="2">
        <v>22</v>
      </c>
      <c r="Q1802" s="2" t="s">
        <v>46</v>
      </c>
      <c r="R1802" s="2" t="s">
        <v>47</v>
      </c>
      <c r="S1802" s="2">
        <v>0</v>
      </c>
      <c r="T1802" s="2">
        <v>0</v>
      </c>
      <c r="U1802" s="2">
        <v>0</v>
      </c>
      <c r="V1802" s="2">
        <v>0</v>
      </c>
      <c r="W1802" s="2">
        <v>9</v>
      </c>
      <c r="X1802" s="2" t="s">
        <v>8162</v>
      </c>
      <c r="Y1802" s="2">
        <v>1</v>
      </c>
      <c r="Z1802" s="2">
        <v>8</v>
      </c>
      <c r="AA1802" s="2">
        <v>5</v>
      </c>
      <c r="AB1802" s="2">
        <v>3</v>
      </c>
      <c r="AC1802" s="2">
        <v>1</v>
      </c>
      <c r="AD1802" s="2">
        <v>1</v>
      </c>
      <c r="AE1802" s="2" t="s">
        <v>0</v>
      </c>
      <c r="AF1802" s="2">
        <v>1</v>
      </c>
      <c r="AG1802" s="2" t="s">
        <v>755</v>
      </c>
    </row>
    <row r="1803" spans="1:33" ht="51" x14ac:dyDescent="0.2">
      <c r="A1803" s="5" t="str">
        <f>HYPERLINK("http://www.patentics.cn/invokexml.do?sf=ShowPatent&amp;spn=US8874793&amp;sv=c81650cd687de568b74acce6a387e912","US8874793")</f>
        <v>US8874793</v>
      </c>
      <c r="B1803" s="3" t="s">
        <v>8163</v>
      </c>
      <c r="C1803" s="3" t="s">
        <v>8164</v>
      </c>
      <c r="D1803" s="3" t="s">
        <v>52</v>
      </c>
      <c r="E1803" s="3" t="s">
        <v>52</v>
      </c>
      <c r="F1803" s="3" t="s">
        <v>8165</v>
      </c>
      <c r="G1803" s="3" t="s">
        <v>5758</v>
      </c>
      <c r="H1803" s="3" t="s">
        <v>8166</v>
      </c>
      <c r="I1803" s="3" t="s">
        <v>8167</v>
      </c>
      <c r="J1803" s="3" t="s">
        <v>489</v>
      </c>
      <c r="K1803" s="3" t="s">
        <v>555</v>
      </c>
      <c r="L1803" s="3" t="s">
        <v>556</v>
      </c>
      <c r="M1803" s="3" t="s">
        <v>58</v>
      </c>
      <c r="N1803" s="3" t="s">
        <v>8168</v>
      </c>
      <c r="O1803" s="3">
        <v>0</v>
      </c>
      <c r="P1803" s="3">
        <v>17</v>
      </c>
      <c r="Q1803" s="3" t="s">
        <v>60</v>
      </c>
      <c r="R1803" s="3" t="s">
        <v>61</v>
      </c>
      <c r="S1803" s="3">
        <v>22</v>
      </c>
      <c r="T1803" s="3">
        <v>0</v>
      </c>
      <c r="U1803" s="3">
        <v>22</v>
      </c>
      <c r="V1803" s="3">
        <v>17</v>
      </c>
      <c r="W1803" s="3">
        <v>0</v>
      </c>
      <c r="X1803" s="3" t="s">
        <v>147</v>
      </c>
      <c r="Y1803" s="3">
        <v>0</v>
      </c>
      <c r="Z1803" s="3">
        <v>0</v>
      </c>
      <c r="AA1803" s="3">
        <v>0</v>
      </c>
      <c r="AB1803" s="3">
        <v>0</v>
      </c>
      <c r="AC1803" s="3">
        <v>8</v>
      </c>
      <c r="AD1803" s="3">
        <v>7</v>
      </c>
      <c r="AE1803" s="3">
        <v>14</v>
      </c>
      <c r="AF1803" s="3" t="s">
        <v>0</v>
      </c>
      <c r="AG1803" s="3" t="s">
        <v>49</v>
      </c>
    </row>
    <row r="1804" spans="1:33" ht="25.5" x14ac:dyDescent="0.2">
      <c r="A1804" s="4" t="str">
        <f>HYPERLINK("http://www.patentics.cn/invokexml.do?sf=ShowPatent&amp;spn=CN101163124&amp;sv=ec5732f5497e7fc0ba87ddb7f587eea8","CN101163124")</f>
        <v>CN101163124</v>
      </c>
      <c r="B1804" s="2" t="s">
        <v>8169</v>
      </c>
      <c r="C1804" s="2" t="s">
        <v>8170</v>
      </c>
      <c r="D1804" s="2" t="s">
        <v>38</v>
      </c>
      <c r="E1804" s="2" t="s">
        <v>38</v>
      </c>
      <c r="F1804" s="2" t="s">
        <v>8171</v>
      </c>
      <c r="G1804" s="2" t="s">
        <v>8172</v>
      </c>
      <c r="H1804" s="2" t="s">
        <v>791</v>
      </c>
      <c r="I1804" s="2" t="s">
        <v>791</v>
      </c>
      <c r="J1804" s="2" t="s">
        <v>3631</v>
      </c>
      <c r="K1804" s="2" t="s">
        <v>58</v>
      </c>
      <c r="L1804" s="2" t="s">
        <v>326</v>
      </c>
      <c r="M1804" s="2" t="s">
        <v>84</v>
      </c>
      <c r="N1804" s="2" t="s">
        <v>2604</v>
      </c>
      <c r="O1804" s="2">
        <v>4</v>
      </c>
      <c r="P1804" s="2">
        <v>39</v>
      </c>
      <c r="Q1804" s="2" t="s">
        <v>46</v>
      </c>
      <c r="R1804" s="2" t="s">
        <v>47</v>
      </c>
      <c r="S1804" s="2">
        <v>3</v>
      </c>
      <c r="T1804" s="2">
        <v>0</v>
      </c>
      <c r="U1804" s="2">
        <v>3</v>
      </c>
      <c r="V1804" s="2">
        <v>3</v>
      </c>
      <c r="W1804" s="2">
        <v>6</v>
      </c>
      <c r="X1804" s="2" t="s">
        <v>8173</v>
      </c>
      <c r="Y1804" s="2">
        <v>0</v>
      </c>
      <c r="Z1804" s="2">
        <v>6</v>
      </c>
      <c r="AA1804" s="2">
        <v>6</v>
      </c>
      <c r="AB1804" s="2">
        <v>2</v>
      </c>
      <c r="AC1804" s="2">
        <v>1</v>
      </c>
      <c r="AD1804" s="2">
        <v>1</v>
      </c>
      <c r="AE1804" s="2" t="s">
        <v>0</v>
      </c>
      <c r="AF1804" s="2">
        <v>1</v>
      </c>
      <c r="AG1804" s="2" t="s">
        <v>49</v>
      </c>
    </row>
    <row r="1805" spans="1:33" ht="153" x14ac:dyDescent="0.2">
      <c r="A1805" s="5" t="str">
        <f>HYPERLINK("http://www.patentics.cn/invokexml.do?sf=ShowPatent&amp;spn=WO2014000356&amp;sv=f005e59eebc38168e02536fb0e794efe","WO2014000356")</f>
        <v>WO2014000356</v>
      </c>
      <c r="B1805" s="3" t="s">
        <v>8174</v>
      </c>
      <c r="C1805" s="3" t="s">
        <v>7438</v>
      </c>
      <c r="D1805" s="3" t="s">
        <v>7439</v>
      </c>
      <c r="E1805" s="3" t="s">
        <v>7440</v>
      </c>
      <c r="F1805" s="3" t="s">
        <v>7441</v>
      </c>
      <c r="G1805" s="3" t="s">
        <v>7442</v>
      </c>
      <c r="H1805" s="3" t="s">
        <v>3398</v>
      </c>
      <c r="I1805" s="3" t="s">
        <v>4443</v>
      </c>
      <c r="J1805" s="3" t="s">
        <v>3403</v>
      </c>
      <c r="K1805" s="3" t="s">
        <v>82</v>
      </c>
      <c r="L1805" s="3" t="s">
        <v>835</v>
      </c>
      <c r="M1805" s="3" t="s">
        <v>0</v>
      </c>
      <c r="N1805" s="3" t="s">
        <v>0</v>
      </c>
      <c r="O1805" s="3">
        <v>20</v>
      </c>
      <c r="P1805" s="3">
        <v>6</v>
      </c>
      <c r="Q1805" s="3" t="s">
        <v>352</v>
      </c>
      <c r="R1805" s="3" t="s">
        <v>47</v>
      </c>
      <c r="S1805" s="3">
        <v>4</v>
      </c>
      <c r="T1805" s="3">
        <v>0</v>
      </c>
      <c r="U1805" s="3">
        <v>4</v>
      </c>
      <c r="V1805" s="3">
        <v>4</v>
      </c>
      <c r="W1805" s="3">
        <v>0</v>
      </c>
      <c r="X1805" s="3" t="s">
        <v>147</v>
      </c>
      <c r="Y1805" s="3">
        <v>0</v>
      </c>
      <c r="Z1805" s="3">
        <v>0</v>
      </c>
      <c r="AA1805" s="3">
        <v>0</v>
      </c>
      <c r="AB1805" s="3">
        <v>0</v>
      </c>
      <c r="AC1805" s="3">
        <v>1</v>
      </c>
      <c r="AD1805" s="3">
        <v>1</v>
      </c>
      <c r="AE1805" s="3">
        <v>14</v>
      </c>
      <c r="AF1805" s="3" t="s">
        <v>0</v>
      </c>
      <c r="AG1805" s="3" t="s">
        <v>0</v>
      </c>
    </row>
    <row r="1806" spans="1:33" ht="63.75" x14ac:dyDescent="0.2">
      <c r="A1806" s="4" t="str">
        <f>HYPERLINK("http://www.patentics.cn/invokexml.do?sf=ShowPatent&amp;spn=CN101159479&amp;sv=0dc00bc45b6e655bee30a1eaae9c03e9","CN101159479")</f>
        <v>CN101159479</v>
      </c>
      <c r="B1806" s="2" t="s">
        <v>8175</v>
      </c>
      <c r="C1806" s="2" t="s">
        <v>8176</v>
      </c>
      <c r="D1806" s="2" t="s">
        <v>38</v>
      </c>
      <c r="E1806" s="2" t="s">
        <v>38</v>
      </c>
      <c r="F1806" s="2" t="s">
        <v>8177</v>
      </c>
      <c r="G1806" s="2" t="s">
        <v>5303</v>
      </c>
      <c r="H1806" s="2" t="s">
        <v>883</v>
      </c>
      <c r="I1806" s="2" t="s">
        <v>883</v>
      </c>
      <c r="J1806" s="2" t="s">
        <v>3882</v>
      </c>
      <c r="K1806" s="2" t="s">
        <v>84</v>
      </c>
      <c r="L1806" s="2" t="s">
        <v>114</v>
      </c>
      <c r="M1806" s="2" t="s">
        <v>84</v>
      </c>
      <c r="N1806" s="2" t="s">
        <v>3122</v>
      </c>
      <c r="O1806" s="2">
        <v>8</v>
      </c>
      <c r="P1806" s="2">
        <v>17</v>
      </c>
      <c r="Q1806" s="2" t="s">
        <v>46</v>
      </c>
      <c r="R1806" s="2" t="s">
        <v>47</v>
      </c>
      <c r="S1806" s="2">
        <v>0</v>
      </c>
      <c r="T1806" s="2">
        <v>0</v>
      </c>
      <c r="U1806" s="2">
        <v>0</v>
      </c>
      <c r="V1806" s="2">
        <v>0</v>
      </c>
      <c r="W1806" s="2">
        <v>12</v>
      </c>
      <c r="X1806" s="2" t="s">
        <v>8178</v>
      </c>
      <c r="Y1806" s="2">
        <v>0</v>
      </c>
      <c r="Z1806" s="2">
        <v>12</v>
      </c>
      <c r="AA1806" s="2">
        <v>3</v>
      </c>
      <c r="AB1806" s="2">
        <v>4</v>
      </c>
      <c r="AC1806" s="2">
        <v>1</v>
      </c>
      <c r="AD1806" s="2">
        <v>1</v>
      </c>
      <c r="AE1806" s="2" t="s">
        <v>0</v>
      </c>
      <c r="AF1806" s="2">
        <v>1</v>
      </c>
      <c r="AG1806" s="2" t="s">
        <v>49</v>
      </c>
    </row>
    <row r="1807" spans="1:33" ht="63.75" x14ac:dyDescent="0.2">
      <c r="A1807" s="5" t="str">
        <f>HYPERLINK("http://www.patentics.cn/invokexml.do?sf=ShowPatent&amp;spn=WO2014166061&amp;sv=43c7fa1c4245bcead84bb967d8c1e3d6","WO2014166061")</f>
        <v>WO2014166061</v>
      </c>
      <c r="B1807" s="3" t="s">
        <v>8179</v>
      </c>
      <c r="C1807" s="3" t="s">
        <v>8180</v>
      </c>
      <c r="D1807" s="3" t="s">
        <v>7577</v>
      </c>
      <c r="E1807" s="3" t="s">
        <v>7578</v>
      </c>
      <c r="F1807" s="3" t="s">
        <v>7579</v>
      </c>
      <c r="G1807" s="3" t="s">
        <v>2732</v>
      </c>
      <c r="H1807" s="3" t="s">
        <v>7580</v>
      </c>
      <c r="I1807" s="3" t="s">
        <v>7580</v>
      </c>
      <c r="J1807" s="3" t="s">
        <v>7581</v>
      </c>
      <c r="K1807" s="3" t="s">
        <v>82</v>
      </c>
      <c r="L1807" s="3" t="s">
        <v>806</v>
      </c>
      <c r="M1807" s="3" t="s">
        <v>0</v>
      </c>
      <c r="N1807" s="3" t="s">
        <v>0</v>
      </c>
      <c r="O1807" s="3">
        <v>24</v>
      </c>
      <c r="P1807" s="3">
        <v>9</v>
      </c>
      <c r="Q1807" s="3" t="s">
        <v>352</v>
      </c>
      <c r="R1807" s="3" t="s">
        <v>47</v>
      </c>
      <c r="S1807" s="3">
        <v>6</v>
      </c>
      <c r="T1807" s="3">
        <v>0</v>
      </c>
      <c r="U1807" s="3">
        <v>6</v>
      </c>
      <c r="V1807" s="3">
        <v>5</v>
      </c>
      <c r="W1807" s="3">
        <v>1</v>
      </c>
      <c r="X1807" s="3" t="s">
        <v>580</v>
      </c>
      <c r="Y1807" s="3">
        <v>0</v>
      </c>
      <c r="Z1807" s="3">
        <v>1</v>
      </c>
      <c r="AA1807" s="3">
        <v>1</v>
      </c>
      <c r="AB1807" s="3">
        <v>1</v>
      </c>
      <c r="AC1807" s="3">
        <v>5</v>
      </c>
      <c r="AD1807" s="3">
        <v>5</v>
      </c>
      <c r="AE1807" s="3">
        <v>14</v>
      </c>
      <c r="AF1807" s="3" t="s">
        <v>0</v>
      </c>
      <c r="AG1807" s="3" t="s">
        <v>0</v>
      </c>
    </row>
    <row r="1808" spans="1:33" ht="25.5" x14ac:dyDescent="0.2">
      <c r="A1808" s="4" t="str">
        <f>HYPERLINK("http://www.patentics.cn/invokexml.do?sf=ShowPatent&amp;spn=CN101159624&amp;sv=4e2c50ccf531a4cadbfbd94d5dc2fed5","CN101159624")</f>
        <v>CN101159624</v>
      </c>
      <c r="B1808" s="2" t="s">
        <v>8181</v>
      </c>
      <c r="C1808" s="2" t="s">
        <v>8182</v>
      </c>
      <c r="D1808" s="2" t="s">
        <v>38</v>
      </c>
      <c r="E1808" s="2" t="s">
        <v>38</v>
      </c>
      <c r="F1808" s="2" t="s">
        <v>8183</v>
      </c>
      <c r="G1808" s="2" t="s">
        <v>8183</v>
      </c>
      <c r="H1808" s="2" t="s">
        <v>399</v>
      </c>
      <c r="I1808" s="2" t="s">
        <v>399</v>
      </c>
      <c r="J1808" s="2" t="s">
        <v>3882</v>
      </c>
      <c r="K1808" s="2" t="s">
        <v>58</v>
      </c>
      <c r="L1808" s="2" t="s">
        <v>763</v>
      </c>
      <c r="M1808" s="2" t="s">
        <v>58</v>
      </c>
      <c r="N1808" s="2" t="s">
        <v>3921</v>
      </c>
      <c r="O1808" s="2">
        <v>10</v>
      </c>
      <c r="P1808" s="2">
        <v>6</v>
      </c>
      <c r="Q1808" s="2" t="s">
        <v>46</v>
      </c>
      <c r="R1808" s="2" t="s">
        <v>47</v>
      </c>
      <c r="S1808" s="2">
        <v>0</v>
      </c>
      <c r="T1808" s="2">
        <v>0</v>
      </c>
      <c r="U1808" s="2">
        <v>0</v>
      </c>
      <c r="V1808" s="2">
        <v>0</v>
      </c>
      <c r="W1808" s="2">
        <v>4</v>
      </c>
      <c r="X1808" s="2" t="s">
        <v>7811</v>
      </c>
      <c r="Y1808" s="2">
        <v>2</v>
      </c>
      <c r="Z1808" s="2">
        <v>2</v>
      </c>
      <c r="AA1808" s="2">
        <v>3</v>
      </c>
      <c r="AB1808" s="2">
        <v>3</v>
      </c>
      <c r="AC1808" s="2">
        <v>1</v>
      </c>
      <c r="AD1808" s="2">
        <v>1</v>
      </c>
      <c r="AE1808" s="2" t="s">
        <v>0</v>
      </c>
      <c r="AF1808" s="2">
        <v>1</v>
      </c>
      <c r="AG1808" s="2" t="s">
        <v>49</v>
      </c>
    </row>
    <row r="1809" spans="1:33" ht="38.25" x14ac:dyDescent="0.2">
      <c r="A1809" s="5" t="str">
        <f>HYPERLINK("http://www.patentics.cn/invokexml.do?sf=ShowPatent&amp;spn=WO2014026315&amp;sv=16f5f972d808d1f26a8ffc250c7dd307","WO2014026315")</f>
        <v>WO2014026315</v>
      </c>
      <c r="B1809" s="3" t="s">
        <v>7321</v>
      </c>
      <c r="C1809" s="3" t="s">
        <v>7322</v>
      </c>
      <c r="D1809" s="3" t="s">
        <v>7323</v>
      </c>
      <c r="E1809" s="3" t="s">
        <v>7324</v>
      </c>
      <c r="F1809" s="3" t="s">
        <v>7325</v>
      </c>
      <c r="G1809" s="3" t="s">
        <v>7326</v>
      </c>
      <c r="H1809" s="3" t="s">
        <v>7327</v>
      </c>
      <c r="I1809" s="3" t="s">
        <v>7327</v>
      </c>
      <c r="J1809" s="3" t="s">
        <v>7328</v>
      </c>
      <c r="K1809" s="3" t="s">
        <v>82</v>
      </c>
      <c r="L1809" s="3" t="s">
        <v>1294</v>
      </c>
      <c r="M1809" s="3" t="s">
        <v>0</v>
      </c>
      <c r="N1809" s="3" t="s">
        <v>0</v>
      </c>
      <c r="O1809" s="3">
        <v>38</v>
      </c>
      <c r="P1809" s="3">
        <v>11</v>
      </c>
      <c r="Q1809" s="3" t="s">
        <v>352</v>
      </c>
      <c r="R1809" s="3" t="s">
        <v>47</v>
      </c>
      <c r="S1809" s="3">
        <v>4</v>
      </c>
      <c r="T1809" s="3">
        <v>0</v>
      </c>
      <c r="U1809" s="3">
        <v>4</v>
      </c>
      <c r="V1809" s="3">
        <v>3</v>
      </c>
      <c r="W1809" s="3">
        <v>0</v>
      </c>
      <c r="X1809" s="3" t="s">
        <v>147</v>
      </c>
      <c r="Y1809" s="3">
        <v>0</v>
      </c>
      <c r="Z1809" s="3">
        <v>0</v>
      </c>
      <c r="AA1809" s="3">
        <v>0</v>
      </c>
      <c r="AB1809" s="3">
        <v>0</v>
      </c>
      <c r="AC1809" s="3">
        <v>1</v>
      </c>
      <c r="AD1809" s="3">
        <v>2</v>
      </c>
      <c r="AE1809" s="3">
        <v>14</v>
      </c>
      <c r="AF1809" s="3" t="s">
        <v>0</v>
      </c>
      <c r="AG1809" s="3" t="s">
        <v>0</v>
      </c>
    </row>
    <row r="1810" spans="1:33" x14ac:dyDescent="0.2">
      <c r="A1810" s="4" t="str">
        <f>HYPERLINK("http://www.patentics.cn/invokexml.do?sf=ShowPatent&amp;spn=CN101154991&amp;sv=ca669bd40fe788d7d6eef4419daf2c10","CN101154991")</f>
        <v>CN101154991</v>
      </c>
      <c r="B1810" s="2" t="s">
        <v>8184</v>
      </c>
      <c r="C1810" s="2" t="s">
        <v>8185</v>
      </c>
      <c r="D1810" s="2" t="s">
        <v>38</v>
      </c>
      <c r="E1810" s="2" t="s">
        <v>38</v>
      </c>
      <c r="F1810" s="2" t="s">
        <v>5871</v>
      </c>
      <c r="G1810" s="2" t="s">
        <v>5871</v>
      </c>
      <c r="H1810" s="2" t="s">
        <v>3611</v>
      </c>
      <c r="I1810" s="2" t="s">
        <v>3611</v>
      </c>
      <c r="J1810" s="2" t="s">
        <v>5614</v>
      </c>
      <c r="K1810" s="2" t="s">
        <v>84</v>
      </c>
      <c r="L1810" s="2" t="s">
        <v>1922</v>
      </c>
      <c r="M1810" s="2" t="s">
        <v>58</v>
      </c>
      <c r="N1810" s="2" t="s">
        <v>3035</v>
      </c>
      <c r="O1810" s="2">
        <v>18</v>
      </c>
      <c r="P1810" s="2">
        <v>13</v>
      </c>
      <c r="Q1810" s="2" t="s">
        <v>46</v>
      </c>
      <c r="R1810" s="2" t="s">
        <v>47</v>
      </c>
      <c r="S1810" s="2">
        <v>1</v>
      </c>
      <c r="T1810" s="2">
        <v>0</v>
      </c>
      <c r="U1810" s="2">
        <v>1</v>
      </c>
      <c r="V1810" s="2">
        <v>1</v>
      </c>
      <c r="W1810" s="2">
        <v>12</v>
      </c>
      <c r="X1810" s="2" t="s">
        <v>8186</v>
      </c>
      <c r="Y1810" s="2">
        <v>5</v>
      </c>
      <c r="Z1810" s="2">
        <v>7</v>
      </c>
      <c r="AA1810" s="2">
        <v>4</v>
      </c>
      <c r="AB1810" s="2">
        <v>3</v>
      </c>
      <c r="AC1810" s="2">
        <v>1</v>
      </c>
      <c r="AD1810" s="2">
        <v>1</v>
      </c>
      <c r="AE1810" s="2" t="s">
        <v>0</v>
      </c>
      <c r="AF1810" s="2">
        <v>1</v>
      </c>
      <c r="AG1810" s="2" t="s">
        <v>49</v>
      </c>
    </row>
    <row r="1811" spans="1:33" ht="63.75" x14ac:dyDescent="0.2">
      <c r="A1811" s="5" t="str">
        <f>HYPERLINK("http://www.patentics.cn/invokexml.do?sf=ShowPatent&amp;spn=US8948085&amp;sv=590f5ac0bacb9613920059e2a5874931","US8948085")</f>
        <v>US8948085</v>
      </c>
      <c r="B1811" s="3" t="s">
        <v>8187</v>
      </c>
      <c r="C1811" s="3" t="s">
        <v>8188</v>
      </c>
      <c r="D1811" s="3" t="s">
        <v>52</v>
      </c>
      <c r="E1811" s="3" t="s">
        <v>52</v>
      </c>
      <c r="F1811" s="3" t="s">
        <v>8189</v>
      </c>
      <c r="G1811" s="3" t="s">
        <v>944</v>
      </c>
      <c r="H1811" s="3" t="s">
        <v>2077</v>
      </c>
      <c r="I1811" s="3" t="s">
        <v>2452</v>
      </c>
      <c r="J1811" s="3" t="s">
        <v>2504</v>
      </c>
      <c r="K1811" s="3" t="s">
        <v>82</v>
      </c>
      <c r="L1811" s="3" t="s">
        <v>83</v>
      </c>
      <c r="M1811" s="3" t="s">
        <v>82</v>
      </c>
      <c r="N1811" s="3" t="s">
        <v>977</v>
      </c>
      <c r="O1811" s="3">
        <v>0</v>
      </c>
      <c r="P1811" s="3">
        <v>13</v>
      </c>
      <c r="Q1811" s="3" t="s">
        <v>60</v>
      </c>
      <c r="R1811" s="3" t="s">
        <v>61</v>
      </c>
      <c r="S1811" s="3">
        <v>16</v>
      </c>
      <c r="T1811" s="3">
        <v>1</v>
      </c>
      <c r="U1811" s="3">
        <v>15</v>
      </c>
      <c r="V1811" s="3">
        <v>13</v>
      </c>
      <c r="W1811" s="3">
        <v>2</v>
      </c>
      <c r="X1811" s="3" t="s">
        <v>6301</v>
      </c>
      <c r="Y1811" s="3">
        <v>0</v>
      </c>
      <c r="Z1811" s="3">
        <v>2</v>
      </c>
      <c r="AA1811" s="3">
        <v>2</v>
      </c>
      <c r="AB1811" s="3">
        <v>1</v>
      </c>
      <c r="AC1811" s="3">
        <v>8</v>
      </c>
      <c r="AD1811" s="3">
        <v>7</v>
      </c>
      <c r="AE1811" s="3">
        <v>14</v>
      </c>
      <c r="AF1811" s="3" t="s">
        <v>0</v>
      </c>
      <c r="AG1811" s="3" t="s">
        <v>49</v>
      </c>
    </row>
    <row r="1812" spans="1:33" ht="51" x14ac:dyDescent="0.2">
      <c r="A1812" s="4" t="str">
        <f>HYPERLINK("http://www.patentics.cn/invokexml.do?sf=ShowPatent&amp;spn=CN101150512&amp;sv=68d94f38357bc4b4f25b4e27d5a9b9b5","CN101150512")</f>
        <v>CN101150512</v>
      </c>
      <c r="B1812" s="2" t="s">
        <v>8190</v>
      </c>
      <c r="C1812" s="2" t="s">
        <v>8191</v>
      </c>
      <c r="D1812" s="2" t="s">
        <v>38</v>
      </c>
      <c r="E1812" s="2" t="s">
        <v>38</v>
      </c>
      <c r="F1812" s="2" t="s">
        <v>8192</v>
      </c>
      <c r="G1812" s="2" t="s">
        <v>8193</v>
      </c>
      <c r="H1812" s="2" t="s">
        <v>1373</v>
      </c>
      <c r="I1812" s="2" t="s">
        <v>1373</v>
      </c>
      <c r="J1812" s="2" t="s">
        <v>4099</v>
      </c>
      <c r="K1812" s="2" t="s">
        <v>58</v>
      </c>
      <c r="L1812" s="2" t="s">
        <v>1236</v>
      </c>
      <c r="M1812" s="2" t="s">
        <v>58</v>
      </c>
      <c r="N1812" s="2" t="s">
        <v>8194</v>
      </c>
      <c r="O1812" s="2">
        <v>9</v>
      </c>
      <c r="P1812" s="2">
        <v>10</v>
      </c>
      <c r="Q1812" s="2" t="s">
        <v>46</v>
      </c>
      <c r="R1812" s="2" t="s">
        <v>47</v>
      </c>
      <c r="S1812" s="2">
        <v>0</v>
      </c>
      <c r="T1812" s="2">
        <v>0</v>
      </c>
      <c r="U1812" s="2">
        <v>0</v>
      </c>
      <c r="V1812" s="2">
        <v>0</v>
      </c>
      <c r="W1812" s="2">
        <v>8</v>
      </c>
      <c r="X1812" s="2" t="s">
        <v>8195</v>
      </c>
      <c r="Y1812" s="2">
        <v>3</v>
      </c>
      <c r="Z1812" s="2">
        <v>5</v>
      </c>
      <c r="AA1812" s="2">
        <v>5</v>
      </c>
      <c r="AB1812" s="2">
        <v>3</v>
      </c>
      <c r="AC1812" s="2">
        <v>1</v>
      </c>
      <c r="AD1812" s="2">
        <v>1</v>
      </c>
      <c r="AE1812" s="2" t="s">
        <v>0</v>
      </c>
      <c r="AF1812" s="2">
        <v>1</v>
      </c>
      <c r="AG1812" s="2" t="s">
        <v>49</v>
      </c>
    </row>
    <row r="1813" spans="1:33" ht="76.5" x14ac:dyDescent="0.2">
      <c r="A1813" s="5" t="str">
        <f>HYPERLINK("http://www.patentics.cn/invokexml.do?sf=ShowPatent&amp;spn=US8750116&amp;sv=a2e11db984f43242e7156f5f2742eb92","US8750116")</f>
        <v>US8750116</v>
      </c>
      <c r="B1813" s="3" t="s">
        <v>8196</v>
      </c>
      <c r="C1813" s="3" t="s">
        <v>8197</v>
      </c>
      <c r="D1813" s="3" t="s">
        <v>52</v>
      </c>
      <c r="E1813" s="3" t="s">
        <v>52</v>
      </c>
      <c r="F1813" s="3" t="s">
        <v>8198</v>
      </c>
      <c r="G1813" s="3" t="s">
        <v>811</v>
      </c>
      <c r="H1813" s="3" t="s">
        <v>598</v>
      </c>
      <c r="I1813" s="3" t="s">
        <v>2528</v>
      </c>
      <c r="J1813" s="3" t="s">
        <v>479</v>
      </c>
      <c r="K1813" s="3" t="s">
        <v>58</v>
      </c>
      <c r="L1813" s="3" t="s">
        <v>763</v>
      </c>
      <c r="M1813" s="3" t="s">
        <v>58</v>
      </c>
      <c r="N1813" s="3" t="s">
        <v>8199</v>
      </c>
      <c r="O1813" s="3">
        <v>0</v>
      </c>
      <c r="P1813" s="3">
        <v>10</v>
      </c>
      <c r="Q1813" s="3" t="s">
        <v>60</v>
      </c>
      <c r="R1813" s="3" t="s">
        <v>61</v>
      </c>
      <c r="S1813" s="3">
        <v>17</v>
      </c>
      <c r="T1813" s="3">
        <v>3</v>
      </c>
      <c r="U1813" s="3">
        <v>14</v>
      </c>
      <c r="V1813" s="3">
        <v>11</v>
      </c>
      <c r="W1813" s="3">
        <v>0</v>
      </c>
      <c r="X1813" s="3" t="s">
        <v>147</v>
      </c>
      <c r="Y1813" s="3">
        <v>0</v>
      </c>
      <c r="Z1813" s="3">
        <v>0</v>
      </c>
      <c r="AA1813" s="3">
        <v>0</v>
      </c>
      <c r="AB1813" s="3">
        <v>0</v>
      </c>
      <c r="AC1813" s="3">
        <v>12</v>
      </c>
      <c r="AD1813" s="3">
        <v>7</v>
      </c>
      <c r="AE1813" s="3">
        <v>14</v>
      </c>
      <c r="AF1813" s="3" t="s">
        <v>0</v>
      </c>
      <c r="AG1813" s="3" t="s">
        <v>49</v>
      </c>
    </row>
    <row r="1814" spans="1:33" ht="25.5" x14ac:dyDescent="0.2">
      <c r="A1814" s="4" t="str">
        <f>HYPERLINK("http://www.patentics.cn/invokexml.do?sf=ShowPatent&amp;spn=CN101146298&amp;sv=bb905b4cf62f38cd0ecac5309f3a3043","CN101146298")</f>
        <v>CN101146298</v>
      </c>
      <c r="B1814" s="2" t="s">
        <v>8200</v>
      </c>
      <c r="C1814" s="2" t="s">
        <v>8201</v>
      </c>
      <c r="D1814" s="2" t="s">
        <v>38</v>
      </c>
      <c r="E1814" s="2" t="s">
        <v>38</v>
      </c>
      <c r="F1814" s="2" t="s">
        <v>8202</v>
      </c>
      <c r="G1814" s="2" t="s">
        <v>8202</v>
      </c>
      <c r="H1814" s="2" t="s">
        <v>0</v>
      </c>
      <c r="I1814" s="2" t="s">
        <v>2683</v>
      </c>
      <c r="J1814" s="2" t="s">
        <v>5638</v>
      </c>
      <c r="K1814" s="2" t="s">
        <v>43</v>
      </c>
      <c r="L1814" s="2" t="s">
        <v>2062</v>
      </c>
      <c r="M1814" s="2" t="s">
        <v>43</v>
      </c>
      <c r="N1814" s="2" t="s">
        <v>2146</v>
      </c>
      <c r="O1814" s="2">
        <v>8</v>
      </c>
      <c r="P1814" s="2">
        <v>15</v>
      </c>
      <c r="Q1814" s="2" t="s">
        <v>46</v>
      </c>
      <c r="R1814" s="2" t="s">
        <v>47</v>
      </c>
      <c r="S1814" s="2">
        <v>0</v>
      </c>
      <c r="T1814" s="2">
        <v>0</v>
      </c>
      <c r="U1814" s="2">
        <v>0</v>
      </c>
      <c r="V1814" s="2">
        <v>0</v>
      </c>
      <c r="W1814" s="2">
        <v>7</v>
      </c>
      <c r="X1814" s="2" t="s">
        <v>8203</v>
      </c>
      <c r="Y1814" s="2">
        <v>2</v>
      </c>
      <c r="Z1814" s="2">
        <v>5</v>
      </c>
      <c r="AA1814" s="2">
        <v>6</v>
      </c>
      <c r="AB1814" s="2">
        <v>2</v>
      </c>
      <c r="AC1814" s="2">
        <v>0</v>
      </c>
      <c r="AD1814" s="2">
        <v>0</v>
      </c>
      <c r="AE1814" s="2" t="s">
        <v>0</v>
      </c>
      <c r="AF1814" s="2">
        <v>1</v>
      </c>
      <c r="AG1814" s="2" t="s">
        <v>547</v>
      </c>
    </row>
    <row r="1815" spans="1:33" ht="51" x14ac:dyDescent="0.2">
      <c r="A1815" s="5" t="str">
        <f>HYPERLINK("http://www.patentics.cn/invokexml.do?sf=ShowPatent&amp;spn=CN103314624B&amp;sv=50c21a84d8e3685a9fb5faa71cf61b8d","CN103314624B")</f>
        <v>CN103314624B</v>
      </c>
      <c r="B1815" s="3" t="s">
        <v>8204</v>
      </c>
      <c r="C1815" s="3" t="s">
        <v>8205</v>
      </c>
      <c r="D1815" s="3" t="s">
        <v>338</v>
      </c>
      <c r="E1815" s="3" t="s">
        <v>338</v>
      </c>
      <c r="F1815" s="3" t="s">
        <v>8206</v>
      </c>
      <c r="G1815" s="3" t="s">
        <v>8207</v>
      </c>
      <c r="H1815" s="3" t="s">
        <v>8208</v>
      </c>
      <c r="I1815" s="3" t="s">
        <v>2464</v>
      </c>
      <c r="J1815" s="3" t="s">
        <v>5483</v>
      </c>
      <c r="K1815" s="3" t="s">
        <v>82</v>
      </c>
      <c r="L1815" s="3" t="s">
        <v>1444</v>
      </c>
      <c r="M1815" s="3" t="s">
        <v>0</v>
      </c>
      <c r="N1815" s="3" t="s">
        <v>0</v>
      </c>
      <c r="O1815" s="3">
        <v>16</v>
      </c>
      <c r="P1815" s="3">
        <v>22</v>
      </c>
      <c r="Q1815" s="3" t="s">
        <v>60</v>
      </c>
      <c r="R1815" s="3" t="s">
        <v>61</v>
      </c>
      <c r="S1815" s="3">
        <v>2</v>
      </c>
      <c r="T1815" s="3">
        <v>0</v>
      </c>
      <c r="U1815" s="3">
        <v>2</v>
      </c>
      <c r="V1815" s="3">
        <v>1</v>
      </c>
      <c r="W1815" s="3">
        <v>0</v>
      </c>
      <c r="X1815" s="3" t="s">
        <v>147</v>
      </c>
      <c r="Y1815" s="3">
        <v>0</v>
      </c>
      <c r="Z1815" s="3">
        <v>0</v>
      </c>
      <c r="AA1815" s="3">
        <v>0</v>
      </c>
      <c r="AB1815" s="3">
        <v>0</v>
      </c>
      <c r="AC1815" s="3">
        <v>0</v>
      </c>
      <c r="AD1815" s="3">
        <v>0</v>
      </c>
      <c r="AE1815" s="3">
        <v>14</v>
      </c>
      <c r="AF1815" s="3" t="s">
        <v>0</v>
      </c>
      <c r="AG1815" s="3" t="s">
        <v>49</v>
      </c>
    </row>
    <row r="1816" spans="1:33" ht="25.5" x14ac:dyDescent="0.2">
      <c r="A1816" s="4" t="str">
        <f>HYPERLINK("http://www.patentics.cn/invokexml.do?sf=ShowPatent&amp;spn=CN101145949&amp;sv=3cce39931eac546c29b1529681d458f9","CN101145949")</f>
        <v>CN101145949</v>
      </c>
      <c r="B1816" s="2" t="s">
        <v>8209</v>
      </c>
      <c r="C1816" s="2" t="s">
        <v>8210</v>
      </c>
      <c r="D1816" s="2" t="s">
        <v>38</v>
      </c>
      <c r="E1816" s="2" t="s">
        <v>38</v>
      </c>
      <c r="F1816" s="2" t="s">
        <v>8211</v>
      </c>
      <c r="G1816" s="2" t="s">
        <v>8211</v>
      </c>
      <c r="H1816" s="2" t="s">
        <v>0</v>
      </c>
      <c r="I1816" s="2" t="s">
        <v>8212</v>
      </c>
      <c r="J1816" s="2" t="s">
        <v>5638</v>
      </c>
      <c r="K1816" s="2" t="s">
        <v>58</v>
      </c>
      <c r="L1816" s="2" t="s">
        <v>752</v>
      </c>
      <c r="M1816" s="2" t="s">
        <v>58</v>
      </c>
      <c r="N1816" s="2" t="s">
        <v>1832</v>
      </c>
      <c r="O1816" s="2">
        <v>8</v>
      </c>
      <c r="P1816" s="2">
        <v>8</v>
      </c>
      <c r="Q1816" s="2" t="s">
        <v>46</v>
      </c>
      <c r="R1816" s="2" t="s">
        <v>47</v>
      </c>
      <c r="S1816" s="2">
        <v>0</v>
      </c>
      <c r="T1816" s="2">
        <v>0</v>
      </c>
      <c r="U1816" s="2">
        <v>0</v>
      </c>
      <c r="V1816" s="2">
        <v>0</v>
      </c>
      <c r="W1816" s="2">
        <v>3</v>
      </c>
      <c r="X1816" s="2" t="s">
        <v>3394</v>
      </c>
      <c r="Y1816" s="2">
        <v>1</v>
      </c>
      <c r="Z1816" s="2">
        <v>2</v>
      </c>
      <c r="AA1816" s="2">
        <v>3</v>
      </c>
      <c r="AB1816" s="2">
        <v>3</v>
      </c>
      <c r="AC1816" s="2">
        <v>0</v>
      </c>
      <c r="AD1816" s="2">
        <v>0</v>
      </c>
      <c r="AE1816" s="2" t="s">
        <v>0</v>
      </c>
      <c r="AF1816" s="2">
        <v>1</v>
      </c>
      <c r="AG1816" s="2" t="s">
        <v>2523</v>
      </c>
    </row>
    <row r="1817" spans="1:33" ht="204" x14ac:dyDescent="0.2">
      <c r="A1817" s="5" t="str">
        <f>HYPERLINK("http://www.patentics.cn/invokexml.do?sf=ShowPatent&amp;spn=US9603085&amp;sv=a04c4fc7aa2c382359d6796d70b29dd2","US9603085")</f>
        <v>US9603085</v>
      </c>
      <c r="B1817" s="3" t="s">
        <v>2044</v>
      </c>
      <c r="C1817" s="3" t="s">
        <v>2045</v>
      </c>
      <c r="D1817" s="3" t="s">
        <v>52</v>
      </c>
      <c r="E1817" s="3" t="s">
        <v>52</v>
      </c>
      <c r="F1817" s="3" t="s">
        <v>2046</v>
      </c>
      <c r="G1817" s="3" t="s">
        <v>2035</v>
      </c>
      <c r="H1817" s="3" t="s">
        <v>0</v>
      </c>
      <c r="I1817" s="3" t="s">
        <v>1513</v>
      </c>
      <c r="J1817" s="3" t="s">
        <v>739</v>
      </c>
      <c r="K1817" s="3" t="s">
        <v>82</v>
      </c>
      <c r="L1817" s="3" t="s">
        <v>2047</v>
      </c>
      <c r="M1817" s="3" t="s">
        <v>82</v>
      </c>
      <c r="N1817" s="3" t="s">
        <v>2048</v>
      </c>
      <c r="O1817" s="3">
        <v>0</v>
      </c>
      <c r="P1817" s="3">
        <v>21</v>
      </c>
      <c r="Q1817" s="3" t="s">
        <v>60</v>
      </c>
      <c r="R1817" s="3" t="s">
        <v>61</v>
      </c>
      <c r="S1817" s="3">
        <v>121</v>
      </c>
      <c r="T1817" s="3">
        <v>14</v>
      </c>
      <c r="U1817" s="3">
        <v>107</v>
      </c>
      <c r="V1817" s="3">
        <v>53</v>
      </c>
      <c r="W1817" s="3">
        <v>0</v>
      </c>
      <c r="X1817" s="3" t="s">
        <v>147</v>
      </c>
      <c r="Y1817" s="3">
        <v>0</v>
      </c>
      <c r="Z1817" s="3">
        <v>0</v>
      </c>
      <c r="AA1817" s="3">
        <v>0</v>
      </c>
      <c r="AB1817" s="3">
        <v>0</v>
      </c>
      <c r="AC1817" s="3">
        <v>0</v>
      </c>
      <c r="AD1817" s="3">
        <v>0</v>
      </c>
      <c r="AE1817" s="3">
        <v>14</v>
      </c>
      <c r="AF1817" s="3" t="s">
        <v>0</v>
      </c>
      <c r="AG1817" s="3" t="s">
        <v>49</v>
      </c>
    </row>
    <row r="1818" spans="1:33" ht="25.5" x14ac:dyDescent="0.2">
      <c r="A1818" s="4" t="str">
        <f>HYPERLINK("http://www.patentics.cn/invokexml.do?sf=ShowPatent&amp;spn=CN101145125&amp;sv=c2c7ee53c61435f6440b48d0f2b1d441","CN101145125")</f>
        <v>CN101145125</v>
      </c>
      <c r="B1818" s="2" t="s">
        <v>8213</v>
      </c>
      <c r="C1818" s="2" t="s">
        <v>8214</v>
      </c>
      <c r="D1818" s="2" t="s">
        <v>38</v>
      </c>
      <c r="E1818" s="2" t="s">
        <v>38</v>
      </c>
      <c r="F1818" s="2" t="s">
        <v>8215</v>
      </c>
      <c r="G1818" s="2" t="s">
        <v>8215</v>
      </c>
      <c r="H1818" s="2" t="s">
        <v>8216</v>
      </c>
      <c r="I1818" s="2" t="s">
        <v>8216</v>
      </c>
      <c r="J1818" s="2" t="s">
        <v>5638</v>
      </c>
      <c r="K1818" s="2" t="s">
        <v>555</v>
      </c>
      <c r="L1818" s="2" t="s">
        <v>8217</v>
      </c>
      <c r="M1818" s="2" t="s">
        <v>555</v>
      </c>
      <c r="N1818" s="2" t="s">
        <v>8218</v>
      </c>
      <c r="O1818" s="2">
        <v>8</v>
      </c>
      <c r="P1818" s="2">
        <v>27</v>
      </c>
      <c r="Q1818" s="2" t="s">
        <v>46</v>
      </c>
      <c r="R1818" s="2" t="s">
        <v>47</v>
      </c>
      <c r="S1818" s="2">
        <v>1</v>
      </c>
      <c r="T1818" s="2">
        <v>0</v>
      </c>
      <c r="U1818" s="2">
        <v>1</v>
      </c>
      <c r="V1818" s="2">
        <v>1</v>
      </c>
      <c r="W1818" s="2">
        <v>3</v>
      </c>
      <c r="X1818" s="2" t="s">
        <v>8219</v>
      </c>
      <c r="Y1818" s="2">
        <v>0</v>
      </c>
      <c r="Z1818" s="2">
        <v>3</v>
      </c>
      <c r="AA1818" s="2">
        <v>3</v>
      </c>
      <c r="AB1818" s="2">
        <v>2</v>
      </c>
      <c r="AC1818" s="2">
        <v>1</v>
      </c>
      <c r="AD1818" s="2">
        <v>1</v>
      </c>
      <c r="AE1818" s="2" t="s">
        <v>0</v>
      </c>
      <c r="AF1818" s="2">
        <v>1</v>
      </c>
      <c r="AG1818" s="2" t="s">
        <v>49</v>
      </c>
    </row>
    <row r="1819" spans="1:33" ht="114.75" x14ac:dyDescent="0.2">
      <c r="A1819" s="5" t="str">
        <f>HYPERLINK("http://www.patentics.cn/invokexml.do?sf=ShowPatent&amp;spn=US8594816&amp;sv=b68693dcc3491dab25e1166383e2bccf","US8594816")</f>
        <v>US8594816</v>
      </c>
      <c r="B1819" s="3" t="s">
        <v>8220</v>
      </c>
      <c r="C1819" s="3" t="s">
        <v>8221</v>
      </c>
      <c r="D1819" s="3" t="s">
        <v>52</v>
      </c>
      <c r="E1819" s="3" t="s">
        <v>52</v>
      </c>
      <c r="F1819" s="3" t="s">
        <v>8222</v>
      </c>
      <c r="G1819" s="3" t="s">
        <v>8223</v>
      </c>
      <c r="H1819" s="3" t="s">
        <v>3130</v>
      </c>
      <c r="I1819" s="3" t="s">
        <v>2335</v>
      </c>
      <c r="J1819" s="3" t="s">
        <v>5794</v>
      </c>
      <c r="K1819" s="3" t="s">
        <v>555</v>
      </c>
      <c r="L1819" s="3" t="s">
        <v>8224</v>
      </c>
      <c r="M1819" s="3" t="s">
        <v>555</v>
      </c>
      <c r="N1819" s="3" t="s">
        <v>8225</v>
      </c>
      <c r="O1819" s="3">
        <v>0</v>
      </c>
      <c r="P1819" s="3">
        <v>8</v>
      </c>
      <c r="Q1819" s="3" t="s">
        <v>60</v>
      </c>
      <c r="R1819" s="3" t="s">
        <v>61</v>
      </c>
      <c r="S1819" s="3">
        <v>21</v>
      </c>
      <c r="T1819" s="3">
        <v>0</v>
      </c>
      <c r="U1819" s="3">
        <v>21</v>
      </c>
      <c r="V1819" s="3">
        <v>17</v>
      </c>
      <c r="W1819" s="3">
        <v>0</v>
      </c>
      <c r="X1819" s="3" t="s">
        <v>147</v>
      </c>
      <c r="Y1819" s="3">
        <v>0</v>
      </c>
      <c r="Z1819" s="3">
        <v>0</v>
      </c>
      <c r="AA1819" s="3">
        <v>0</v>
      </c>
      <c r="AB1819" s="3">
        <v>0</v>
      </c>
      <c r="AC1819" s="3">
        <v>7</v>
      </c>
      <c r="AD1819" s="3">
        <v>6</v>
      </c>
      <c r="AE1819" s="3">
        <v>14</v>
      </c>
      <c r="AF1819" s="3" t="s">
        <v>0</v>
      </c>
      <c r="AG1819" s="3" t="s">
        <v>49</v>
      </c>
    </row>
    <row r="1820" spans="1:33" ht="25.5" x14ac:dyDescent="0.2">
      <c r="A1820" s="4" t="str">
        <f>HYPERLINK("http://www.patentics.cn/invokexml.do?sf=ShowPatent&amp;spn=CN101141142&amp;sv=2735597d18adfc35002f66acb1185af0","CN101141142")</f>
        <v>CN101141142</v>
      </c>
      <c r="B1820" s="2" t="s">
        <v>8226</v>
      </c>
      <c r="C1820" s="2" t="s">
        <v>8227</v>
      </c>
      <c r="D1820" s="2" t="s">
        <v>38</v>
      </c>
      <c r="E1820" s="2" t="s">
        <v>38</v>
      </c>
      <c r="F1820" s="2" t="s">
        <v>8228</v>
      </c>
      <c r="G1820" s="2" t="s">
        <v>8229</v>
      </c>
      <c r="H1820" s="2" t="s">
        <v>8230</v>
      </c>
      <c r="I1820" s="2" t="s">
        <v>8230</v>
      </c>
      <c r="J1820" s="2" t="s">
        <v>5652</v>
      </c>
      <c r="K1820" s="2" t="s">
        <v>84</v>
      </c>
      <c r="L1820" s="2" t="s">
        <v>1300</v>
      </c>
      <c r="M1820" s="2" t="s">
        <v>84</v>
      </c>
      <c r="N1820" s="2" t="s">
        <v>8231</v>
      </c>
      <c r="O1820" s="2">
        <v>9</v>
      </c>
      <c r="P1820" s="2">
        <v>19</v>
      </c>
      <c r="Q1820" s="2" t="s">
        <v>46</v>
      </c>
      <c r="R1820" s="2" t="s">
        <v>47</v>
      </c>
      <c r="S1820" s="2">
        <v>6</v>
      </c>
      <c r="T1820" s="2">
        <v>0</v>
      </c>
      <c r="U1820" s="2">
        <v>6</v>
      </c>
      <c r="V1820" s="2">
        <v>3</v>
      </c>
      <c r="W1820" s="2">
        <v>3</v>
      </c>
      <c r="X1820" s="2" t="s">
        <v>6501</v>
      </c>
      <c r="Y1820" s="2">
        <v>0</v>
      </c>
      <c r="Z1820" s="2">
        <v>3</v>
      </c>
      <c r="AA1820" s="2">
        <v>3</v>
      </c>
      <c r="AB1820" s="2">
        <v>1</v>
      </c>
      <c r="AC1820" s="2">
        <v>1</v>
      </c>
      <c r="AD1820" s="2">
        <v>1</v>
      </c>
      <c r="AE1820" s="2" t="s">
        <v>0</v>
      </c>
      <c r="AF1820" s="2">
        <v>1</v>
      </c>
      <c r="AG1820" s="2" t="s">
        <v>49</v>
      </c>
    </row>
    <row r="1821" spans="1:33" ht="25.5" x14ac:dyDescent="0.2">
      <c r="A1821" s="5" t="str">
        <f>HYPERLINK("http://www.patentics.cn/invokexml.do?sf=ShowPatent&amp;spn=CN101841505B&amp;sv=c947649d6675c770528424753e57653d","CN101841505B")</f>
        <v>CN101841505B</v>
      </c>
      <c r="B1821" s="3" t="s">
        <v>8232</v>
      </c>
      <c r="C1821" s="3" t="s">
        <v>8233</v>
      </c>
      <c r="D1821" s="3" t="s">
        <v>8234</v>
      </c>
      <c r="E1821" s="3" t="s">
        <v>338</v>
      </c>
      <c r="F1821" s="3" t="s">
        <v>8235</v>
      </c>
      <c r="G1821" s="3" t="s">
        <v>8236</v>
      </c>
      <c r="H1821" s="3" t="s">
        <v>4615</v>
      </c>
      <c r="I1821" s="3" t="s">
        <v>4615</v>
      </c>
      <c r="J1821" s="3" t="s">
        <v>3522</v>
      </c>
      <c r="K1821" s="3" t="s">
        <v>58</v>
      </c>
      <c r="L1821" s="3" t="s">
        <v>326</v>
      </c>
      <c r="M1821" s="3" t="s">
        <v>0</v>
      </c>
      <c r="N1821" s="3" t="s">
        <v>0</v>
      </c>
      <c r="O1821" s="3">
        <v>4</v>
      </c>
      <c r="P1821" s="3">
        <v>26</v>
      </c>
      <c r="Q1821" s="3" t="s">
        <v>60</v>
      </c>
      <c r="R1821" s="3" t="s">
        <v>47</v>
      </c>
      <c r="S1821" s="3">
        <v>4</v>
      </c>
      <c r="T1821" s="3">
        <v>1</v>
      </c>
      <c r="U1821" s="3">
        <v>3</v>
      </c>
      <c r="V1821" s="3">
        <v>4</v>
      </c>
      <c r="W1821" s="3">
        <v>0</v>
      </c>
      <c r="X1821" s="3" t="s">
        <v>147</v>
      </c>
      <c r="Y1821" s="3">
        <v>0</v>
      </c>
      <c r="Z1821" s="3">
        <v>0</v>
      </c>
      <c r="AA1821" s="3">
        <v>0</v>
      </c>
      <c r="AB1821" s="3">
        <v>0</v>
      </c>
      <c r="AC1821" s="3">
        <v>1</v>
      </c>
      <c r="AD1821" s="3">
        <v>1</v>
      </c>
      <c r="AE1821" s="3">
        <v>14</v>
      </c>
      <c r="AF1821" s="3" t="s">
        <v>0</v>
      </c>
      <c r="AG1821" s="3" t="s">
        <v>755</v>
      </c>
    </row>
    <row r="1822" spans="1:33" ht="25.5" x14ac:dyDescent="0.2">
      <c r="A1822" s="4" t="str">
        <f>HYPERLINK("http://www.patentics.cn/invokexml.do?sf=ShowPatent&amp;spn=CN101141186&amp;sv=efe589a94432960f772b33325c433406","CN101141186")</f>
        <v>CN101141186</v>
      </c>
      <c r="B1822" s="2" t="s">
        <v>8237</v>
      </c>
      <c r="C1822" s="2" t="s">
        <v>8238</v>
      </c>
      <c r="D1822" s="2" t="s">
        <v>38</v>
      </c>
      <c r="E1822" s="2" t="s">
        <v>38</v>
      </c>
      <c r="F1822" s="2" t="s">
        <v>4084</v>
      </c>
      <c r="G1822" s="2" t="s">
        <v>4084</v>
      </c>
      <c r="H1822" s="2" t="s">
        <v>8239</v>
      </c>
      <c r="I1822" s="2" t="s">
        <v>8239</v>
      </c>
      <c r="J1822" s="2" t="s">
        <v>5652</v>
      </c>
      <c r="K1822" s="2" t="s">
        <v>84</v>
      </c>
      <c r="L1822" s="2" t="s">
        <v>1922</v>
      </c>
      <c r="M1822" s="2" t="s">
        <v>84</v>
      </c>
      <c r="N1822" s="2" t="s">
        <v>2604</v>
      </c>
      <c r="O1822" s="2">
        <v>13</v>
      </c>
      <c r="P1822" s="2">
        <v>18</v>
      </c>
      <c r="Q1822" s="2" t="s">
        <v>46</v>
      </c>
      <c r="R1822" s="2" t="s">
        <v>47</v>
      </c>
      <c r="S1822" s="2">
        <v>3</v>
      </c>
      <c r="T1822" s="2">
        <v>0</v>
      </c>
      <c r="U1822" s="2">
        <v>3</v>
      </c>
      <c r="V1822" s="2">
        <v>3</v>
      </c>
      <c r="W1822" s="2">
        <v>1</v>
      </c>
      <c r="X1822" s="2" t="s">
        <v>189</v>
      </c>
      <c r="Y1822" s="2">
        <v>0</v>
      </c>
      <c r="Z1822" s="2">
        <v>1</v>
      </c>
      <c r="AA1822" s="2">
        <v>1</v>
      </c>
      <c r="AB1822" s="2">
        <v>1</v>
      </c>
      <c r="AC1822" s="2">
        <v>1</v>
      </c>
      <c r="AD1822" s="2">
        <v>1</v>
      </c>
      <c r="AE1822" s="2" t="s">
        <v>0</v>
      </c>
      <c r="AF1822" s="2">
        <v>1</v>
      </c>
      <c r="AG1822" s="2" t="s">
        <v>49</v>
      </c>
    </row>
    <row r="1823" spans="1:33" ht="38.25" x14ac:dyDescent="0.2">
      <c r="A1823" s="5" t="str">
        <f>HYPERLINK("http://www.patentics.cn/invokexml.do?sf=ShowPatent&amp;spn=CN102273287B&amp;sv=ce298100378b7578d7bbfd2106b8b720","CN102273287B")</f>
        <v>CN102273287B</v>
      </c>
      <c r="B1823" s="3" t="s">
        <v>8240</v>
      </c>
      <c r="C1823" s="3" t="s">
        <v>8241</v>
      </c>
      <c r="D1823" s="3" t="s">
        <v>338</v>
      </c>
      <c r="E1823" s="3" t="s">
        <v>338</v>
      </c>
      <c r="F1823" s="3" t="s">
        <v>4119</v>
      </c>
      <c r="G1823" s="3" t="s">
        <v>4120</v>
      </c>
      <c r="H1823" s="3" t="s">
        <v>4116</v>
      </c>
      <c r="I1823" s="3" t="s">
        <v>8242</v>
      </c>
      <c r="J1823" s="3" t="s">
        <v>3091</v>
      </c>
      <c r="K1823" s="3" t="s">
        <v>82</v>
      </c>
      <c r="L1823" s="3" t="s">
        <v>2222</v>
      </c>
      <c r="M1823" s="3" t="s">
        <v>0</v>
      </c>
      <c r="N1823" s="3" t="s">
        <v>0</v>
      </c>
      <c r="O1823" s="3">
        <v>12</v>
      </c>
      <c r="P1823" s="3">
        <v>9</v>
      </c>
      <c r="Q1823" s="3" t="s">
        <v>60</v>
      </c>
      <c r="R1823" s="3" t="s">
        <v>61</v>
      </c>
      <c r="S1823" s="3">
        <v>5</v>
      </c>
      <c r="T1823" s="3">
        <v>0</v>
      </c>
      <c r="U1823" s="3">
        <v>5</v>
      </c>
      <c r="V1823" s="3">
        <v>5</v>
      </c>
      <c r="W1823" s="3">
        <v>0</v>
      </c>
      <c r="X1823" s="3" t="s">
        <v>147</v>
      </c>
      <c r="Y1823" s="3">
        <v>0</v>
      </c>
      <c r="Z1823" s="3">
        <v>0</v>
      </c>
      <c r="AA1823" s="3">
        <v>0</v>
      </c>
      <c r="AB1823" s="3">
        <v>0</v>
      </c>
      <c r="AC1823" s="3">
        <v>4</v>
      </c>
      <c r="AD1823" s="3">
        <v>3</v>
      </c>
      <c r="AE1823" s="3">
        <v>14</v>
      </c>
      <c r="AF1823" s="3" t="s">
        <v>0</v>
      </c>
      <c r="AG1823" s="3" t="s">
        <v>49</v>
      </c>
    </row>
    <row r="1824" spans="1:33" ht="38.25" x14ac:dyDescent="0.2">
      <c r="A1824" s="4" t="str">
        <f>HYPERLINK("http://www.patentics.cn/invokexml.do?sf=ShowPatent&amp;spn=CN101141452&amp;sv=2e2eaae3c88bf93e5dd3c7b77eb66a0b","CN101141452")</f>
        <v>CN101141452</v>
      </c>
      <c r="B1824" s="2" t="s">
        <v>8243</v>
      </c>
      <c r="C1824" s="2" t="s">
        <v>8244</v>
      </c>
      <c r="D1824" s="2" t="s">
        <v>38</v>
      </c>
      <c r="E1824" s="2" t="s">
        <v>38</v>
      </c>
      <c r="F1824" s="2" t="s">
        <v>3065</v>
      </c>
      <c r="G1824" s="2" t="s">
        <v>3066</v>
      </c>
      <c r="H1824" s="2" t="s">
        <v>8245</v>
      </c>
      <c r="I1824" s="2" t="s">
        <v>8245</v>
      </c>
      <c r="J1824" s="2" t="s">
        <v>5652</v>
      </c>
      <c r="K1824" s="2" t="s">
        <v>58</v>
      </c>
      <c r="L1824" s="2" t="s">
        <v>722</v>
      </c>
      <c r="M1824" s="2" t="s">
        <v>84</v>
      </c>
      <c r="N1824" s="2" t="s">
        <v>2604</v>
      </c>
      <c r="O1824" s="2">
        <v>8</v>
      </c>
      <c r="P1824" s="2">
        <v>24</v>
      </c>
      <c r="Q1824" s="2" t="s">
        <v>46</v>
      </c>
      <c r="R1824" s="2" t="s">
        <v>47</v>
      </c>
      <c r="S1824" s="2">
        <v>0</v>
      </c>
      <c r="T1824" s="2">
        <v>0</v>
      </c>
      <c r="U1824" s="2">
        <v>0</v>
      </c>
      <c r="V1824" s="2">
        <v>0</v>
      </c>
      <c r="W1824" s="2">
        <v>2</v>
      </c>
      <c r="X1824" s="2" t="s">
        <v>6897</v>
      </c>
      <c r="Y1824" s="2">
        <v>0</v>
      </c>
      <c r="Z1824" s="2">
        <v>2</v>
      </c>
      <c r="AA1824" s="2">
        <v>2</v>
      </c>
      <c r="AB1824" s="2">
        <v>1</v>
      </c>
      <c r="AC1824" s="2">
        <v>2</v>
      </c>
      <c r="AD1824" s="2">
        <v>2</v>
      </c>
      <c r="AE1824" s="2" t="s">
        <v>0</v>
      </c>
      <c r="AF1824" s="2">
        <v>1</v>
      </c>
      <c r="AG1824" s="2" t="s">
        <v>755</v>
      </c>
    </row>
    <row r="1825" spans="1:33" ht="25.5" x14ac:dyDescent="0.2">
      <c r="A1825" s="5" t="str">
        <f>HYPERLINK("http://www.patentics.cn/invokexml.do?sf=ShowPatent&amp;spn=CN102884845B&amp;sv=f56435b1e95367e19433c12f38201362","CN102884845B")</f>
        <v>CN102884845B</v>
      </c>
      <c r="B1825" s="3" t="s">
        <v>8246</v>
      </c>
      <c r="C1825" s="3" t="s">
        <v>8247</v>
      </c>
      <c r="D1825" s="3" t="s">
        <v>338</v>
      </c>
      <c r="E1825" s="3" t="s">
        <v>338</v>
      </c>
      <c r="F1825" s="3" t="s">
        <v>8248</v>
      </c>
      <c r="G1825" s="3" t="s">
        <v>5979</v>
      </c>
      <c r="H1825" s="3" t="s">
        <v>2934</v>
      </c>
      <c r="I1825" s="3" t="s">
        <v>1044</v>
      </c>
      <c r="J1825" s="3" t="s">
        <v>3091</v>
      </c>
      <c r="K1825" s="3" t="s">
        <v>82</v>
      </c>
      <c r="L1825" s="3" t="s">
        <v>8146</v>
      </c>
      <c r="M1825" s="3" t="s">
        <v>0</v>
      </c>
      <c r="N1825" s="3" t="s">
        <v>0</v>
      </c>
      <c r="O1825" s="3">
        <v>14</v>
      </c>
      <c r="P1825" s="3">
        <v>14</v>
      </c>
      <c r="Q1825" s="3" t="s">
        <v>60</v>
      </c>
      <c r="R1825" s="3" t="s">
        <v>61</v>
      </c>
      <c r="S1825" s="3">
        <v>8</v>
      </c>
      <c r="T1825" s="3">
        <v>1</v>
      </c>
      <c r="U1825" s="3">
        <v>7</v>
      </c>
      <c r="V1825" s="3">
        <v>6</v>
      </c>
      <c r="W1825" s="3">
        <v>0</v>
      </c>
      <c r="X1825" s="3" t="s">
        <v>147</v>
      </c>
      <c r="Y1825" s="3">
        <v>0</v>
      </c>
      <c r="Z1825" s="3">
        <v>0</v>
      </c>
      <c r="AA1825" s="3">
        <v>0</v>
      </c>
      <c r="AB1825" s="3">
        <v>0</v>
      </c>
      <c r="AC1825" s="3">
        <v>9</v>
      </c>
      <c r="AD1825" s="3">
        <v>6</v>
      </c>
      <c r="AE1825" s="3">
        <v>14</v>
      </c>
      <c r="AF1825" s="3" t="s">
        <v>0</v>
      </c>
      <c r="AG1825" s="3" t="s">
        <v>49</v>
      </c>
    </row>
    <row r="1826" spans="1:33" ht="25.5" x14ac:dyDescent="0.2">
      <c r="A1826" s="4" t="str">
        <f>HYPERLINK("http://www.patentics.cn/invokexml.do?sf=ShowPatent&amp;spn=CN101132387&amp;sv=bd06fe80dc7f798ed0dc3339a35dec1b","CN101132387")</f>
        <v>CN101132387</v>
      </c>
      <c r="B1826" s="2" t="s">
        <v>8249</v>
      </c>
      <c r="C1826" s="2" t="s">
        <v>8250</v>
      </c>
      <c r="D1826" s="2" t="s">
        <v>38</v>
      </c>
      <c r="E1826" s="2" t="s">
        <v>38</v>
      </c>
      <c r="F1826" s="2" t="s">
        <v>8251</v>
      </c>
      <c r="G1826" s="2" t="s">
        <v>8252</v>
      </c>
      <c r="H1826" s="2" t="s">
        <v>4925</v>
      </c>
      <c r="I1826" s="2" t="s">
        <v>4925</v>
      </c>
      <c r="J1826" s="2" t="s">
        <v>3903</v>
      </c>
      <c r="K1826" s="2" t="s">
        <v>58</v>
      </c>
      <c r="L1826" s="2" t="s">
        <v>326</v>
      </c>
      <c r="M1826" s="2" t="s">
        <v>84</v>
      </c>
      <c r="N1826" s="2" t="s">
        <v>2183</v>
      </c>
      <c r="O1826" s="2">
        <v>13</v>
      </c>
      <c r="P1826" s="2">
        <v>18</v>
      </c>
      <c r="Q1826" s="2" t="s">
        <v>46</v>
      </c>
      <c r="R1826" s="2" t="s">
        <v>47</v>
      </c>
      <c r="S1826" s="2">
        <v>0</v>
      </c>
      <c r="T1826" s="2">
        <v>0</v>
      </c>
      <c r="U1826" s="2">
        <v>0</v>
      </c>
      <c r="V1826" s="2">
        <v>0</v>
      </c>
      <c r="W1826" s="2">
        <v>5</v>
      </c>
      <c r="X1826" s="2" t="s">
        <v>3328</v>
      </c>
      <c r="Y1826" s="2">
        <v>2</v>
      </c>
      <c r="Z1826" s="2">
        <v>3</v>
      </c>
      <c r="AA1826" s="2">
        <v>4</v>
      </c>
      <c r="AB1826" s="2">
        <v>3</v>
      </c>
      <c r="AC1826" s="2">
        <v>1</v>
      </c>
      <c r="AD1826" s="2">
        <v>1</v>
      </c>
      <c r="AE1826" s="2" t="s">
        <v>0</v>
      </c>
      <c r="AF1826" s="2">
        <v>1</v>
      </c>
      <c r="AG1826" s="2" t="s">
        <v>49</v>
      </c>
    </row>
    <row r="1827" spans="1:33" ht="63.75" x14ac:dyDescent="0.2">
      <c r="A1827" s="5" t="str">
        <f>HYPERLINK("http://www.patentics.cn/invokexml.do?sf=ShowPatent&amp;spn=US8811371&amp;sv=a4c8f6a7ddbe0d398844649f0c998571","US8811371")</f>
        <v>US8811371</v>
      </c>
      <c r="B1827" s="3" t="s">
        <v>8253</v>
      </c>
      <c r="C1827" s="3" t="s">
        <v>8254</v>
      </c>
      <c r="D1827" s="3" t="s">
        <v>52</v>
      </c>
      <c r="E1827" s="3" t="s">
        <v>52</v>
      </c>
      <c r="F1827" s="3" t="s">
        <v>8255</v>
      </c>
      <c r="G1827" s="3" t="s">
        <v>2871</v>
      </c>
      <c r="H1827" s="3" t="s">
        <v>7880</v>
      </c>
      <c r="I1827" s="3" t="s">
        <v>610</v>
      </c>
      <c r="J1827" s="3" t="s">
        <v>798</v>
      </c>
      <c r="K1827" s="3" t="s">
        <v>70</v>
      </c>
      <c r="L1827" s="3" t="s">
        <v>71</v>
      </c>
      <c r="M1827" s="3" t="s">
        <v>84</v>
      </c>
      <c r="N1827" s="3" t="s">
        <v>490</v>
      </c>
      <c r="O1827" s="3">
        <v>0</v>
      </c>
      <c r="P1827" s="3">
        <v>16</v>
      </c>
      <c r="Q1827" s="3" t="s">
        <v>60</v>
      </c>
      <c r="R1827" s="3" t="s">
        <v>61</v>
      </c>
      <c r="S1827" s="3">
        <v>10</v>
      </c>
      <c r="T1827" s="3">
        <v>0</v>
      </c>
      <c r="U1827" s="3">
        <v>10</v>
      </c>
      <c r="V1827" s="3">
        <v>6</v>
      </c>
      <c r="W1827" s="3">
        <v>0</v>
      </c>
      <c r="X1827" s="3" t="s">
        <v>147</v>
      </c>
      <c r="Y1827" s="3">
        <v>0</v>
      </c>
      <c r="Z1827" s="3">
        <v>0</v>
      </c>
      <c r="AA1827" s="3">
        <v>0</v>
      </c>
      <c r="AB1827" s="3">
        <v>0</v>
      </c>
      <c r="AC1827" s="3">
        <v>9</v>
      </c>
      <c r="AD1827" s="3">
        <v>7</v>
      </c>
      <c r="AE1827" s="3">
        <v>14</v>
      </c>
      <c r="AF1827" s="3" t="s">
        <v>0</v>
      </c>
      <c r="AG1827" s="3" t="s">
        <v>49</v>
      </c>
    </row>
    <row r="1828" spans="1:33" ht="38.25" x14ac:dyDescent="0.2">
      <c r="A1828" s="4" t="str">
        <f>HYPERLINK("http://www.patentics.cn/invokexml.do?sf=ShowPatent&amp;spn=CN101133584&amp;sv=e400fb794f8b4225c80d6798db7ea620","CN101133584")</f>
        <v>CN101133584</v>
      </c>
      <c r="B1828" s="2" t="s">
        <v>8256</v>
      </c>
      <c r="C1828" s="2" t="s">
        <v>8257</v>
      </c>
      <c r="D1828" s="2" t="s">
        <v>38</v>
      </c>
      <c r="E1828" s="2" t="s">
        <v>38</v>
      </c>
      <c r="F1828" s="2" t="s">
        <v>8258</v>
      </c>
      <c r="G1828" s="2" t="s">
        <v>5696</v>
      </c>
      <c r="H1828" s="2" t="s">
        <v>2798</v>
      </c>
      <c r="I1828" s="2" t="s">
        <v>2798</v>
      </c>
      <c r="J1828" s="2" t="s">
        <v>3903</v>
      </c>
      <c r="K1828" s="2" t="s">
        <v>70</v>
      </c>
      <c r="L1828" s="2" t="s">
        <v>3121</v>
      </c>
      <c r="M1828" s="2" t="s">
        <v>58</v>
      </c>
      <c r="N1828" s="2" t="s">
        <v>1785</v>
      </c>
      <c r="O1828" s="2">
        <v>0</v>
      </c>
      <c r="P1828" s="2">
        <v>0</v>
      </c>
      <c r="Q1828" s="2" t="s">
        <v>46</v>
      </c>
      <c r="R1828" s="2" t="s">
        <v>47</v>
      </c>
      <c r="S1828" s="2">
        <v>0</v>
      </c>
      <c r="T1828" s="2">
        <v>0</v>
      </c>
      <c r="U1828" s="2">
        <v>0</v>
      </c>
      <c r="V1828" s="2">
        <v>0</v>
      </c>
      <c r="W1828" s="2">
        <v>3</v>
      </c>
      <c r="X1828" s="2" t="s">
        <v>7334</v>
      </c>
      <c r="Y1828" s="2">
        <v>2</v>
      </c>
      <c r="Z1828" s="2">
        <v>1</v>
      </c>
      <c r="AA1828" s="2">
        <v>2</v>
      </c>
      <c r="AB1828" s="2">
        <v>2</v>
      </c>
      <c r="AC1828" s="2">
        <v>12</v>
      </c>
      <c r="AD1828" s="2">
        <v>8</v>
      </c>
      <c r="AE1828" s="2" t="s">
        <v>0</v>
      </c>
      <c r="AF1828" s="2">
        <v>1</v>
      </c>
      <c r="AG1828" s="2" t="s">
        <v>49</v>
      </c>
    </row>
    <row r="1829" spans="1:33" ht="63.75" x14ac:dyDescent="0.2">
      <c r="A1829" s="5" t="str">
        <f>HYPERLINK("http://www.patentics.cn/invokexml.do?sf=ShowPatent&amp;spn=US8874111&amp;sv=137d18f1789efc66b94efc12610f120c","US8874111")</f>
        <v>US8874111</v>
      </c>
      <c r="B1829" s="3" t="s">
        <v>2803</v>
      </c>
      <c r="C1829" s="3" t="s">
        <v>2804</v>
      </c>
      <c r="D1829" s="3" t="s">
        <v>52</v>
      </c>
      <c r="E1829" s="3" t="s">
        <v>52</v>
      </c>
      <c r="F1829" s="3" t="s">
        <v>1457</v>
      </c>
      <c r="G1829" s="3" t="s">
        <v>1458</v>
      </c>
      <c r="H1829" s="3" t="s">
        <v>1443</v>
      </c>
      <c r="I1829" s="3" t="s">
        <v>1443</v>
      </c>
      <c r="J1829" s="3" t="s">
        <v>489</v>
      </c>
      <c r="K1829" s="3" t="s">
        <v>82</v>
      </c>
      <c r="L1829" s="3" t="s">
        <v>2805</v>
      </c>
      <c r="M1829" s="3" t="s">
        <v>82</v>
      </c>
      <c r="N1829" s="3" t="s">
        <v>2799</v>
      </c>
      <c r="O1829" s="3">
        <v>0</v>
      </c>
      <c r="P1829" s="3">
        <v>15</v>
      </c>
      <c r="Q1829" s="3" t="s">
        <v>60</v>
      </c>
      <c r="R1829" s="3" t="s">
        <v>61</v>
      </c>
      <c r="S1829" s="3">
        <v>13</v>
      </c>
      <c r="T1829" s="3">
        <v>0</v>
      </c>
      <c r="U1829" s="3">
        <v>13</v>
      </c>
      <c r="V1829" s="3">
        <v>9</v>
      </c>
      <c r="W1829" s="3">
        <v>0</v>
      </c>
      <c r="X1829" s="3" t="s">
        <v>147</v>
      </c>
      <c r="Y1829" s="3">
        <v>0</v>
      </c>
      <c r="Z1829" s="3">
        <v>0</v>
      </c>
      <c r="AA1829" s="3">
        <v>0</v>
      </c>
      <c r="AB1829" s="3">
        <v>0</v>
      </c>
      <c r="AC1829" s="3">
        <v>4</v>
      </c>
      <c r="AD1829" s="3">
        <v>3</v>
      </c>
      <c r="AE1829" s="3">
        <v>14</v>
      </c>
      <c r="AF1829" s="3" t="s">
        <v>0</v>
      </c>
      <c r="AG1829" s="3" t="s">
        <v>49</v>
      </c>
    </row>
    <row r="1830" spans="1:33" ht="38.25" x14ac:dyDescent="0.2">
      <c r="A1830" s="4" t="str">
        <f>HYPERLINK("http://www.patentics.cn/invokexml.do?sf=ShowPatent&amp;spn=CN101128064&amp;sv=ac130a9d9d9f787fdca8685613699a87","CN101128064")</f>
        <v>CN101128064</v>
      </c>
      <c r="B1830" s="2" t="s">
        <v>8259</v>
      </c>
      <c r="C1830" s="2" t="s">
        <v>8260</v>
      </c>
      <c r="D1830" s="2" t="s">
        <v>38</v>
      </c>
      <c r="E1830" s="2" t="s">
        <v>38</v>
      </c>
      <c r="F1830" s="2" t="s">
        <v>8261</v>
      </c>
      <c r="G1830" s="2" t="s">
        <v>8262</v>
      </c>
      <c r="H1830" s="2" t="s">
        <v>3637</v>
      </c>
      <c r="I1830" s="2" t="s">
        <v>3637</v>
      </c>
      <c r="J1830" s="2" t="s">
        <v>3067</v>
      </c>
      <c r="K1830" s="2" t="s">
        <v>43</v>
      </c>
      <c r="L1830" s="2" t="s">
        <v>2591</v>
      </c>
      <c r="M1830" s="2" t="s">
        <v>43</v>
      </c>
      <c r="N1830" s="2" t="s">
        <v>45</v>
      </c>
      <c r="O1830" s="2">
        <v>5</v>
      </c>
      <c r="P1830" s="2">
        <v>20</v>
      </c>
      <c r="Q1830" s="2" t="s">
        <v>46</v>
      </c>
      <c r="R1830" s="2" t="s">
        <v>47</v>
      </c>
      <c r="S1830" s="2">
        <v>0</v>
      </c>
      <c r="T1830" s="2">
        <v>0</v>
      </c>
      <c r="U1830" s="2">
        <v>0</v>
      </c>
      <c r="V1830" s="2">
        <v>0</v>
      </c>
      <c r="W1830" s="2">
        <v>1</v>
      </c>
      <c r="X1830" s="2" t="s">
        <v>403</v>
      </c>
      <c r="Y1830" s="2">
        <v>0</v>
      </c>
      <c r="Z1830" s="2">
        <v>1</v>
      </c>
      <c r="AA1830" s="2">
        <v>1</v>
      </c>
      <c r="AB1830" s="2">
        <v>1</v>
      </c>
      <c r="AC1830" s="2">
        <v>1</v>
      </c>
      <c r="AD1830" s="2">
        <v>1</v>
      </c>
      <c r="AE1830" s="2" t="s">
        <v>0</v>
      </c>
      <c r="AF1830" s="2">
        <v>1</v>
      </c>
      <c r="AG1830" s="2" t="s">
        <v>49</v>
      </c>
    </row>
    <row r="1831" spans="1:33" ht="63.75" x14ac:dyDescent="0.2">
      <c r="A1831" s="5" t="str">
        <f>HYPERLINK("http://www.patentics.cn/invokexml.do?sf=ShowPatent&amp;spn=US8885605&amp;sv=4d404b0fd6a575df5d53e50af32af82d","US8885605")</f>
        <v>US8885605</v>
      </c>
      <c r="B1831" s="3" t="s">
        <v>4112</v>
      </c>
      <c r="C1831" s="3" t="s">
        <v>4113</v>
      </c>
      <c r="D1831" s="3" t="s">
        <v>52</v>
      </c>
      <c r="E1831" s="3" t="s">
        <v>52</v>
      </c>
      <c r="F1831" s="3" t="s">
        <v>1457</v>
      </c>
      <c r="G1831" s="3" t="s">
        <v>1458</v>
      </c>
      <c r="H1831" s="3" t="s">
        <v>3051</v>
      </c>
      <c r="I1831" s="3" t="s">
        <v>1459</v>
      </c>
      <c r="J1831" s="3" t="s">
        <v>196</v>
      </c>
      <c r="K1831" s="3" t="s">
        <v>82</v>
      </c>
      <c r="L1831" s="3" t="s">
        <v>83</v>
      </c>
      <c r="M1831" s="3" t="s">
        <v>82</v>
      </c>
      <c r="N1831" s="3" t="s">
        <v>1529</v>
      </c>
      <c r="O1831" s="3">
        <v>0</v>
      </c>
      <c r="P1831" s="3">
        <v>15</v>
      </c>
      <c r="Q1831" s="3" t="s">
        <v>60</v>
      </c>
      <c r="R1831" s="3" t="s">
        <v>61</v>
      </c>
      <c r="S1831" s="3">
        <v>19</v>
      </c>
      <c r="T1831" s="3">
        <v>1</v>
      </c>
      <c r="U1831" s="3">
        <v>18</v>
      </c>
      <c r="V1831" s="3">
        <v>11</v>
      </c>
      <c r="W1831" s="3">
        <v>0</v>
      </c>
      <c r="X1831" s="3" t="s">
        <v>147</v>
      </c>
      <c r="Y1831" s="3">
        <v>0</v>
      </c>
      <c r="Z1831" s="3">
        <v>0</v>
      </c>
      <c r="AA1831" s="3">
        <v>0</v>
      </c>
      <c r="AB1831" s="3">
        <v>0</v>
      </c>
      <c r="AC1831" s="3">
        <v>4</v>
      </c>
      <c r="AD1831" s="3">
        <v>4</v>
      </c>
      <c r="AE1831" s="3">
        <v>14</v>
      </c>
      <c r="AF1831" s="3" t="s">
        <v>0</v>
      </c>
      <c r="AG1831" s="3" t="s">
        <v>49</v>
      </c>
    </row>
    <row r="1832" spans="1:33" ht="25.5" x14ac:dyDescent="0.2">
      <c r="A1832" s="4" t="str">
        <f>HYPERLINK("http://www.patentics.cn/invokexml.do?sf=ShowPatent&amp;spn=CN101128011&amp;sv=74ea13ab02feedb4b5cda41e585a0d48","CN101128011")</f>
        <v>CN101128011</v>
      </c>
      <c r="B1832" s="2" t="s">
        <v>8263</v>
      </c>
      <c r="C1832" s="2" t="s">
        <v>8264</v>
      </c>
      <c r="D1832" s="2" t="s">
        <v>38</v>
      </c>
      <c r="E1832" s="2" t="s">
        <v>38</v>
      </c>
      <c r="F1832" s="2" t="s">
        <v>8265</v>
      </c>
      <c r="G1832" s="2" t="s">
        <v>5744</v>
      </c>
      <c r="H1832" s="2" t="s">
        <v>2328</v>
      </c>
      <c r="I1832" s="2" t="s">
        <v>2328</v>
      </c>
      <c r="J1832" s="2" t="s">
        <v>3067</v>
      </c>
      <c r="K1832" s="2" t="s">
        <v>43</v>
      </c>
      <c r="L1832" s="2" t="s">
        <v>44</v>
      </c>
      <c r="M1832" s="2" t="s">
        <v>43</v>
      </c>
      <c r="N1832" s="2" t="s">
        <v>45</v>
      </c>
      <c r="O1832" s="2">
        <v>6</v>
      </c>
      <c r="P1832" s="2">
        <v>13</v>
      </c>
      <c r="Q1832" s="2" t="s">
        <v>46</v>
      </c>
      <c r="R1832" s="2" t="s">
        <v>47</v>
      </c>
      <c r="S1832" s="2">
        <v>0</v>
      </c>
      <c r="T1832" s="2">
        <v>0</v>
      </c>
      <c r="U1832" s="2">
        <v>0</v>
      </c>
      <c r="V1832" s="2">
        <v>0</v>
      </c>
      <c r="W1832" s="2">
        <v>13</v>
      </c>
      <c r="X1832" s="2" t="s">
        <v>8266</v>
      </c>
      <c r="Y1832" s="2">
        <v>4</v>
      </c>
      <c r="Z1832" s="2">
        <v>9</v>
      </c>
      <c r="AA1832" s="2">
        <v>8</v>
      </c>
      <c r="AB1832" s="2">
        <v>3</v>
      </c>
      <c r="AC1832" s="2">
        <v>1</v>
      </c>
      <c r="AD1832" s="2">
        <v>1</v>
      </c>
      <c r="AE1832" s="2" t="s">
        <v>0</v>
      </c>
      <c r="AF1832" s="2">
        <v>1</v>
      </c>
      <c r="AG1832" s="2" t="s">
        <v>49</v>
      </c>
    </row>
    <row r="1833" spans="1:33" ht="153" x14ac:dyDescent="0.2">
      <c r="A1833" s="5" t="str">
        <f>HYPERLINK("http://www.patentics.cn/invokexml.do?sf=ShowPatent&amp;spn=US9357507&amp;sv=f094533d4d80e29cc2be3eaf917ccb4d","US9357507")</f>
        <v>US9357507</v>
      </c>
      <c r="B1833" s="3" t="s">
        <v>8267</v>
      </c>
      <c r="C1833" s="3" t="s">
        <v>8268</v>
      </c>
      <c r="D1833" s="3" t="s">
        <v>52</v>
      </c>
      <c r="E1833" s="3" t="s">
        <v>52</v>
      </c>
      <c r="F1833" s="3" t="s">
        <v>8269</v>
      </c>
      <c r="G1833" s="3" t="s">
        <v>7095</v>
      </c>
      <c r="H1833" s="3" t="s">
        <v>6258</v>
      </c>
      <c r="I1833" s="3" t="s">
        <v>3387</v>
      </c>
      <c r="J1833" s="3" t="s">
        <v>1366</v>
      </c>
      <c r="K1833" s="3" t="s">
        <v>82</v>
      </c>
      <c r="L1833" s="3" t="s">
        <v>2288</v>
      </c>
      <c r="M1833" s="3" t="s">
        <v>82</v>
      </c>
      <c r="N1833" s="3" t="s">
        <v>863</v>
      </c>
      <c r="O1833" s="3">
        <v>0</v>
      </c>
      <c r="P1833" s="3">
        <v>9</v>
      </c>
      <c r="Q1833" s="3" t="s">
        <v>60</v>
      </c>
      <c r="R1833" s="3" t="s">
        <v>61</v>
      </c>
      <c r="S1833" s="3">
        <v>15</v>
      </c>
      <c r="T1833" s="3">
        <v>4</v>
      </c>
      <c r="U1833" s="3">
        <v>11</v>
      </c>
      <c r="V1833" s="3">
        <v>11</v>
      </c>
      <c r="W1833" s="3">
        <v>0</v>
      </c>
      <c r="X1833" s="3" t="s">
        <v>147</v>
      </c>
      <c r="Y1833" s="3">
        <v>0</v>
      </c>
      <c r="Z1833" s="3">
        <v>0</v>
      </c>
      <c r="AA1833" s="3">
        <v>0</v>
      </c>
      <c r="AB1833" s="3">
        <v>0</v>
      </c>
      <c r="AC1833" s="3">
        <v>7</v>
      </c>
      <c r="AD1833" s="3">
        <v>6</v>
      </c>
      <c r="AE1833" s="3">
        <v>14</v>
      </c>
      <c r="AF1833" s="3" t="s">
        <v>0</v>
      </c>
      <c r="AG1833" s="3" t="s">
        <v>49</v>
      </c>
    </row>
    <row r="1834" spans="1:33" ht="25.5" x14ac:dyDescent="0.2">
      <c r="A1834" s="4" t="str">
        <f>HYPERLINK("http://www.patentics.cn/invokexml.do?sf=ShowPatent&amp;spn=CN101128057&amp;sv=c7862c5a3b7f6135777b8e231e8aca98","CN101128057")</f>
        <v>CN101128057</v>
      </c>
      <c r="B1834" s="2" t="s">
        <v>8270</v>
      </c>
      <c r="C1834" s="2" t="s">
        <v>8271</v>
      </c>
      <c r="D1834" s="2" t="s">
        <v>38</v>
      </c>
      <c r="E1834" s="2" t="s">
        <v>38</v>
      </c>
      <c r="F1834" s="2" t="s">
        <v>5744</v>
      </c>
      <c r="G1834" s="2" t="s">
        <v>5744</v>
      </c>
      <c r="H1834" s="2" t="s">
        <v>8272</v>
      </c>
      <c r="I1834" s="2" t="s">
        <v>8272</v>
      </c>
      <c r="J1834" s="2" t="s">
        <v>3067</v>
      </c>
      <c r="K1834" s="2" t="s">
        <v>43</v>
      </c>
      <c r="L1834" s="2" t="s">
        <v>2591</v>
      </c>
      <c r="M1834" s="2" t="s">
        <v>43</v>
      </c>
      <c r="N1834" s="2" t="s">
        <v>45</v>
      </c>
      <c r="O1834" s="2">
        <v>7</v>
      </c>
      <c r="P1834" s="2">
        <v>13</v>
      </c>
      <c r="Q1834" s="2" t="s">
        <v>46</v>
      </c>
      <c r="R1834" s="2" t="s">
        <v>47</v>
      </c>
      <c r="S1834" s="2">
        <v>0</v>
      </c>
      <c r="T1834" s="2">
        <v>0</v>
      </c>
      <c r="U1834" s="2">
        <v>0</v>
      </c>
      <c r="V1834" s="2">
        <v>0</v>
      </c>
      <c r="W1834" s="2">
        <v>16</v>
      </c>
      <c r="X1834" s="2" t="s">
        <v>8273</v>
      </c>
      <c r="Y1834" s="2">
        <v>3</v>
      </c>
      <c r="Z1834" s="2">
        <v>13</v>
      </c>
      <c r="AA1834" s="2">
        <v>7</v>
      </c>
      <c r="AB1834" s="2">
        <v>4</v>
      </c>
      <c r="AC1834" s="2">
        <v>1</v>
      </c>
      <c r="AD1834" s="2">
        <v>1</v>
      </c>
      <c r="AE1834" s="2" t="s">
        <v>0</v>
      </c>
      <c r="AF1834" s="2">
        <v>1</v>
      </c>
      <c r="AG1834" s="2" t="s">
        <v>49</v>
      </c>
    </row>
    <row r="1835" spans="1:33" ht="25.5" x14ac:dyDescent="0.2">
      <c r="A1835" s="5" t="str">
        <f>HYPERLINK("http://www.patentics.cn/invokexml.do?sf=ShowPatent&amp;spn=CN104584631B&amp;sv=438a98291dd6f91d30eda08debe424bb","CN104584631B")</f>
        <v>CN104584631B</v>
      </c>
      <c r="B1835" s="3" t="s">
        <v>8274</v>
      </c>
      <c r="C1835" s="3" t="s">
        <v>8275</v>
      </c>
      <c r="D1835" s="3" t="s">
        <v>338</v>
      </c>
      <c r="E1835" s="3" t="s">
        <v>338</v>
      </c>
      <c r="F1835" s="3" t="s">
        <v>8276</v>
      </c>
      <c r="G1835" s="3" t="s">
        <v>8277</v>
      </c>
      <c r="H1835" s="3" t="s">
        <v>4442</v>
      </c>
      <c r="I1835" s="3" t="s">
        <v>4448</v>
      </c>
      <c r="J1835" s="3" t="s">
        <v>7802</v>
      </c>
      <c r="K1835" s="3" t="s">
        <v>82</v>
      </c>
      <c r="L1835" s="3" t="s">
        <v>177</v>
      </c>
      <c r="M1835" s="3" t="s">
        <v>0</v>
      </c>
      <c r="N1835" s="3" t="s">
        <v>0</v>
      </c>
      <c r="O1835" s="3">
        <v>18</v>
      </c>
      <c r="P1835" s="3">
        <v>14</v>
      </c>
      <c r="Q1835" s="3" t="s">
        <v>60</v>
      </c>
      <c r="R1835" s="3" t="s">
        <v>61</v>
      </c>
      <c r="S1835" s="3">
        <v>1</v>
      </c>
      <c r="T1835" s="3">
        <v>0</v>
      </c>
      <c r="U1835" s="3">
        <v>1</v>
      </c>
      <c r="V1835" s="3">
        <v>1</v>
      </c>
      <c r="W1835" s="3">
        <v>0</v>
      </c>
      <c r="X1835" s="3" t="s">
        <v>147</v>
      </c>
      <c r="Y1835" s="3">
        <v>0</v>
      </c>
      <c r="Z1835" s="3">
        <v>0</v>
      </c>
      <c r="AA1835" s="3">
        <v>0</v>
      </c>
      <c r="AB1835" s="3">
        <v>0</v>
      </c>
      <c r="AC1835" s="3">
        <v>0</v>
      </c>
      <c r="AD1835" s="3">
        <v>0</v>
      </c>
      <c r="AE1835" s="3">
        <v>14</v>
      </c>
      <c r="AF1835" s="3" t="s">
        <v>0</v>
      </c>
      <c r="AG1835" s="3" t="s">
        <v>49</v>
      </c>
    </row>
    <row r="1836" spans="1:33" ht="25.5" x14ac:dyDescent="0.2">
      <c r="A1836" s="4" t="str">
        <f>HYPERLINK("http://www.patentics.cn/invokexml.do?sf=ShowPatent&amp;spn=CN101127567&amp;sv=3d5ce738b7755e3d33715c2496ceb56c","CN101127567")</f>
        <v>CN101127567</v>
      </c>
      <c r="B1836" s="2" t="s">
        <v>8278</v>
      </c>
      <c r="C1836" s="2" t="s">
        <v>8279</v>
      </c>
      <c r="D1836" s="2" t="s">
        <v>38</v>
      </c>
      <c r="E1836" s="2" t="s">
        <v>38</v>
      </c>
      <c r="F1836" s="2" t="s">
        <v>8280</v>
      </c>
      <c r="G1836" s="2" t="s">
        <v>8281</v>
      </c>
      <c r="H1836" s="2" t="s">
        <v>3612</v>
      </c>
      <c r="I1836" s="2" t="s">
        <v>3612</v>
      </c>
      <c r="J1836" s="2" t="s">
        <v>3067</v>
      </c>
      <c r="K1836" s="2" t="s">
        <v>84</v>
      </c>
      <c r="L1836" s="2" t="s">
        <v>8282</v>
      </c>
      <c r="M1836" s="2" t="s">
        <v>70</v>
      </c>
      <c r="N1836" s="2" t="s">
        <v>8283</v>
      </c>
      <c r="O1836" s="2">
        <v>9</v>
      </c>
      <c r="P1836" s="2">
        <v>13</v>
      </c>
      <c r="Q1836" s="2" t="s">
        <v>46</v>
      </c>
      <c r="R1836" s="2" t="s">
        <v>47</v>
      </c>
      <c r="S1836" s="2">
        <v>0</v>
      </c>
      <c r="T1836" s="2">
        <v>0</v>
      </c>
      <c r="U1836" s="2">
        <v>0</v>
      </c>
      <c r="V1836" s="2">
        <v>0</v>
      </c>
      <c r="W1836" s="2">
        <v>12</v>
      </c>
      <c r="X1836" s="2" t="s">
        <v>8284</v>
      </c>
      <c r="Y1836" s="2">
        <v>5</v>
      </c>
      <c r="Z1836" s="2">
        <v>7</v>
      </c>
      <c r="AA1836" s="2">
        <v>4</v>
      </c>
      <c r="AB1836" s="2">
        <v>3</v>
      </c>
      <c r="AC1836" s="2">
        <v>1</v>
      </c>
      <c r="AD1836" s="2">
        <v>1</v>
      </c>
      <c r="AE1836" s="2" t="s">
        <v>0</v>
      </c>
      <c r="AF1836" s="2">
        <v>1</v>
      </c>
      <c r="AG1836" s="2" t="s">
        <v>49</v>
      </c>
    </row>
    <row r="1837" spans="1:33" ht="38.25" x14ac:dyDescent="0.2">
      <c r="A1837" s="5" t="str">
        <f>HYPERLINK("http://www.patentics.cn/invokexml.do?sf=ShowPatent&amp;spn=CN101814950B&amp;sv=40455a2aaee55e04ee1771cfc323341f","CN101814950B")</f>
        <v>CN101814950B</v>
      </c>
      <c r="B1837" s="3" t="s">
        <v>8285</v>
      </c>
      <c r="C1837" s="3" t="s">
        <v>8286</v>
      </c>
      <c r="D1837" s="3" t="s">
        <v>8287</v>
      </c>
      <c r="E1837" s="3" t="s">
        <v>338</v>
      </c>
      <c r="F1837" s="3" t="s">
        <v>8288</v>
      </c>
      <c r="G1837" s="3" t="s">
        <v>8289</v>
      </c>
      <c r="H1837" s="3" t="s">
        <v>8290</v>
      </c>
      <c r="I1837" s="3" t="s">
        <v>8290</v>
      </c>
      <c r="J1837" s="3" t="s">
        <v>8291</v>
      </c>
      <c r="K1837" s="3" t="s">
        <v>84</v>
      </c>
      <c r="L1837" s="3" t="s">
        <v>8292</v>
      </c>
      <c r="M1837" s="3" t="s">
        <v>0</v>
      </c>
      <c r="N1837" s="3" t="s">
        <v>0</v>
      </c>
      <c r="O1837" s="3">
        <v>2</v>
      </c>
      <c r="P1837" s="3">
        <v>43</v>
      </c>
      <c r="Q1837" s="3" t="s">
        <v>60</v>
      </c>
      <c r="R1837" s="3" t="s">
        <v>47</v>
      </c>
      <c r="S1837" s="3">
        <v>5</v>
      </c>
      <c r="T1837" s="3">
        <v>0</v>
      </c>
      <c r="U1837" s="3">
        <v>5</v>
      </c>
      <c r="V1837" s="3">
        <v>4</v>
      </c>
      <c r="W1837" s="3">
        <v>0</v>
      </c>
      <c r="X1837" s="3" t="s">
        <v>147</v>
      </c>
      <c r="Y1837" s="3">
        <v>0</v>
      </c>
      <c r="Z1837" s="3">
        <v>0</v>
      </c>
      <c r="AA1837" s="3">
        <v>0</v>
      </c>
      <c r="AB1837" s="3">
        <v>0</v>
      </c>
      <c r="AC1837" s="3">
        <v>1</v>
      </c>
      <c r="AD1837" s="3">
        <v>1</v>
      </c>
      <c r="AE1837" s="3">
        <v>14</v>
      </c>
      <c r="AF1837" s="3" t="s">
        <v>0</v>
      </c>
      <c r="AG1837" s="3" t="s">
        <v>755</v>
      </c>
    </row>
    <row r="1838" spans="1:33" ht="25.5" x14ac:dyDescent="0.2">
      <c r="A1838" s="4" t="str">
        <f>HYPERLINK("http://www.patentics.cn/invokexml.do?sf=ShowPatent&amp;spn=CN101123577&amp;sv=ca04dc3f47ae040f6ba5a5e46eed6036","CN101123577")</f>
        <v>CN101123577</v>
      </c>
      <c r="B1838" s="2" t="s">
        <v>8293</v>
      </c>
      <c r="C1838" s="2" t="s">
        <v>8294</v>
      </c>
      <c r="D1838" s="2" t="s">
        <v>38</v>
      </c>
      <c r="E1838" s="2" t="s">
        <v>38</v>
      </c>
      <c r="F1838" s="2" t="s">
        <v>8295</v>
      </c>
      <c r="G1838" s="2" t="s">
        <v>8296</v>
      </c>
      <c r="H1838" s="2" t="s">
        <v>7899</v>
      </c>
      <c r="I1838" s="2" t="s">
        <v>7899</v>
      </c>
      <c r="J1838" s="2" t="s">
        <v>2779</v>
      </c>
      <c r="K1838" s="2" t="s">
        <v>58</v>
      </c>
      <c r="L1838" s="2" t="s">
        <v>1236</v>
      </c>
      <c r="M1838" s="2" t="s">
        <v>43</v>
      </c>
      <c r="N1838" s="2" t="s">
        <v>45</v>
      </c>
      <c r="O1838" s="2">
        <v>5</v>
      </c>
      <c r="P1838" s="2">
        <v>24</v>
      </c>
      <c r="Q1838" s="2" t="s">
        <v>46</v>
      </c>
      <c r="R1838" s="2" t="s">
        <v>47</v>
      </c>
      <c r="S1838" s="2">
        <v>0</v>
      </c>
      <c r="T1838" s="2">
        <v>0</v>
      </c>
      <c r="U1838" s="2">
        <v>0</v>
      </c>
      <c r="V1838" s="2">
        <v>0</v>
      </c>
      <c r="W1838" s="2">
        <v>13</v>
      </c>
      <c r="X1838" s="2" t="s">
        <v>8297</v>
      </c>
      <c r="Y1838" s="2">
        <v>7</v>
      </c>
      <c r="Z1838" s="2">
        <v>6</v>
      </c>
      <c r="AA1838" s="2">
        <v>4</v>
      </c>
      <c r="AB1838" s="2">
        <v>3</v>
      </c>
      <c r="AC1838" s="2">
        <v>1</v>
      </c>
      <c r="AD1838" s="2">
        <v>1</v>
      </c>
      <c r="AE1838" s="2" t="s">
        <v>0</v>
      </c>
      <c r="AF1838" s="2">
        <v>1</v>
      </c>
      <c r="AG1838" s="2" t="s">
        <v>49</v>
      </c>
    </row>
    <row r="1839" spans="1:33" ht="25.5" x14ac:dyDescent="0.2">
      <c r="A1839" s="5" t="str">
        <f>HYPERLINK("http://www.patentics.cn/invokexml.do?sf=ShowPatent&amp;spn=CN102450066B&amp;sv=03cc213e0fea3240275109e2eb2023e9","CN102450066B")</f>
        <v>CN102450066B</v>
      </c>
      <c r="B1839" s="3" t="s">
        <v>8298</v>
      </c>
      <c r="C1839" s="3" t="s">
        <v>8299</v>
      </c>
      <c r="D1839" s="3" t="s">
        <v>338</v>
      </c>
      <c r="E1839" s="3" t="s">
        <v>338</v>
      </c>
      <c r="F1839" s="3" t="s">
        <v>8300</v>
      </c>
      <c r="G1839" s="3" t="s">
        <v>8301</v>
      </c>
      <c r="H1839" s="3" t="s">
        <v>1229</v>
      </c>
      <c r="I1839" s="3" t="s">
        <v>5507</v>
      </c>
      <c r="J1839" s="3" t="s">
        <v>2516</v>
      </c>
      <c r="K1839" s="3" t="s">
        <v>82</v>
      </c>
      <c r="L1839" s="3" t="s">
        <v>2849</v>
      </c>
      <c r="M1839" s="3" t="s">
        <v>0</v>
      </c>
      <c r="N1839" s="3" t="s">
        <v>0</v>
      </c>
      <c r="O1839" s="3">
        <v>53</v>
      </c>
      <c r="P1839" s="3">
        <v>14</v>
      </c>
      <c r="Q1839" s="3" t="s">
        <v>60</v>
      </c>
      <c r="R1839" s="3" t="s">
        <v>61</v>
      </c>
      <c r="S1839" s="3">
        <v>3</v>
      </c>
      <c r="T1839" s="3">
        <v>0</v>
      </c>
      <c r="U1839" s="3">
        <v>3</v>
      </c>
      <c r="V1839" s="3">
        <v>3</v>
      </c>
      <c r="W1839" s="3">
        <v>0</v>
      </c>
      <c r="X1839" s="3" t="s">
        <v>147</v>
      </c>
      <c r="Y1839" s="3">
        <v>0</v>
      </c>
      <c r="Z1839" s="3">
        <v>0</v>
      </c>
      <c r="AA1839" s="3">
        <v>0</v>
      </c>
      <c r="AB1839" s="3">
        <v>0</v>
      </c>
      <c r="AC1839" s="3">
        <v>0</v>
      </c>
      <c r="AD1839" s="3">
        <v>0</v>
      </c>
      <c r="AE1839" s="3">
        <v>14</v>
      </c>
      <c r="AF1839" s="3" t="s">
        <v>0</v>
      </c>
      <c r="AG1839" s="3" t="s">
        <v>49</v>
      </c>
    </row>
    <row r="1840" spans="1:33" ht="51" x14ac:dyDescent="0.2">
      <c r="A1840" s="4" t="str">
        <f>HYPERLINK("http://www.patentics.cn/invokexml.do?sf=ShowPatent&amp;spn=CN101111053&amp;sv=2c5b8cf807f4ba7a13cbd38ee3ee311b","CN101111053")</f>
        <v>CN101111053</v>
      </c>
      <c r="B1840" s="2" t="s">
        <v>8302</v>
      </c>
      <c r="C1840" s="2" t="s">
        <v>8303</v>
      </c>
      <c r="D1840" s="2" t="s">
        <v>38</v>
      </c>
      <c r="E1840" s="2" t="s">
        <v>38</v>
      </c>
      <c r="F1840" s="2" t="s">
        <v>8304</v>
      </c>
      <c r="G1840" s="2" t="s">
        <v>8305</v>
      </c>
      <c r="H1840" s="2" t="s">
        <v>8306</v>
      </c>
      <c r="I1840" s="2" t="s">
        <v>8306</v>
      </c>
      <c r="J1840" s="2" t="s">
        <v>8094</v>
      </c>
      <c r="K1840" s="2" t="s">
        <v>43</v>
      </c>
      <c r="L1840" s="2" t="s">
        <v>2591</v>
      </c>
      <c r="M1840" s="2" t="s">
        <v>58</v>
      </c>
      <c r="N1840" s="2" t="s">
        <v>3921</v>
      </c>
      <c r="O1840" s="2">
        <v>17</v>
      </c>
      <c r="P1840" s="2">
        <v>23</v>
      </c>
      <c r="Q1840" s="2" t="s">
        <v>46</v>
      </c>
      <c r="R1840" s="2" t="s">
        <v>47</v>
      </c>
      <c r="S1840" s="2">
        <v>1</v>
      </c>
      <c r="T1840" s="2">
        <v>1</v>
      </c>
      <c r="U1840" s="2">
        <v>0</v>
      </c>
      <c r="V1840" s="2">
        <v>1</v>
      </c>
      <c r="W1840" s="2">
        <v>13</v>
      </c>
      <c r="X1840" s="2" t="s">
        <v>8307</v>
      </c>
      <c r="Y1840" s="2">
        <v>2</v>
      </c>
      <c r="Z1840" s="2">
        <v>11</v>
      </c>
      <c r="AA1840" s="2">
        <v>10</v>
      </c>
      <c r="AB1840" s="2">
        <v>3</v>
      </c>
      <c r="AC1840" s="2">
        <v>1</v>
      </c>
      <c r="AD1840" s="2">
        <v>1</v>
      </c>
      <c r="AE1840" s="2" t="s">
        <v>0</v>
      </c>
      <c r="AF1840" s="2">
        <v>1</v>
      </c>
      <c r="AG1840" s="2" t="s">
        <v>49</v>
      </c>
    </row>
    <row r="1841" spans="1:33" ht="76.5" x14ac:dyDescent="0.2">
      <c r="A1841" s="5" t="str">
        <f>HYPERLINK("http://www.patentics.cn/invokexml.do?sf=ShowPatent&amp;spn=US8948731&amp;sv=272d2bc0e50978368e4bc724369d92dc","US8948731")</f>
        <v>US8948731</v>
      </c>
      <c r="B1841" s="3" t="s">
        <v>8308</v>
      </c>
      <c r="C1841" s="3" t="s">
        <v>8309</v>
      </c>
      <c r="D1841" s="3" t="s">
        <v>52</v>
      </c>
      <c r="E1841" s="3" t="s">
        <v>52</v>
      </c>
      <c r="F1841" s="3" t="s">
        <v>8310</v>
      </c>
      <c r="G1841" s="3" t="s">
        <v>8311</v>
      </c>
      <c r="H1841" s="3" t="s">
        <v>8312</v>
      </c>
      <c r="I1841" s="3" t="s">
        <v>8312</v>
      </c>
      <c r="J1841" s="3" t="s">
        <v>2504</v>
      </c>
      <c r="K1841" s="3" t="s">
        <v>270</v>
      </c>
      <c r="L1841" s="3" t="s">
        <v>5625</v>
      </c>
      <c r="M1841" s="3" t="s">
        <v>544</v>
      </c>
      <c r="N1841" s="3" t="s">
        <v>8313</v>
      </c>
      <c r="O1841" s="3">
        <v>0</v>
      </c>
      <c r="P1841" s="3">
        <v>10</v>
      </c>
      <c r="Q1841" s="3" t="s">
        <v>60</v>
      </c>
      <c r="R1841" s="3" t="s">
        <v>61</v>
      </c>
      <c r="S1841" s="3">
        <v>24</v>
      </c>
      <c r="T1841" s="3">
        <v>0</v>
      </c>
      <c r="U1841" s="3">
        <v>24</v>
      </c>
      <c r="V1841" s="3">
        <v>16</v>
      </c>
      <c r="W1841" s="3">
        <v>0</v>
      </c>
      <c r="X1841" s="3" t="s">
        <v>147</v>
      </c>
      <c r="Y1841" s="3">
        <v>0</v>
      </c>
      <c r="Z1841" s="3">
        <v>0</v>
      </c>
      <c r="AA1841" s="3">
        <v>0</v>
      </c>
      <c r="AB1841" s="3">
        <v>0</v>
      </c>
      <c r="AC1841" s="3">
        <v>25</v>
      </c>
      <c r="AD1841" s="3">
        <v>14</v>
      </c>
      <c r="AE1841" s="3">
        <v>14</v>
      </c>
      <c r="AF1841" s="3" t="s">
        <v>0</v>
      </c>
      <c r="AG1841" s="3" t="s">
        <v>49</v>
      </c>
    </row>
    <row r="1842" spans="1:33" ht="25.5" x14ac:dyDescent="0.2">
      <c r="A1842" s="4" t="str">
        <f>HYPERLINK("http://www.patentics.cn/invokexml.do?sf=ShowPatent&amp;spn=CN101102547&amp;sv=f5f86332dd91297135a4a53999e2b7ea","CN101102547")</f>
        <v>CN101102547</v>
      </c>
      <c r="B1842" s="2" t="s">
        <v>8314</v>
      </c>
      <c r="C1842" s="2" t="s">
        <v>8315</v>
      </c>
      <c r="D1842" s="2" t="s">
        <v>38</v>
      </c>
      <c r="E1842" s="2" t="s">
        <v>38</v>
      </c>
      <c r="F1842" s="2" t="s">
        <v>8316</v>
      </c>
      <c r="G1842" s="2" t="s">
        <v>8317</v>
      </c>
      <c r="H1842" s="2" t="s">
        <v>3565</v>
      </c>
      <c r="I1842" s="2" t="s">
        <v>3565</v>
      </c>
      <c r="J1842" s="2" t="s">
        <v>3481</v>
      </c>
      <c r="K1842" s="2" t="s">
        <v>43</v>
      </c>
      <c r="L1842" s="2" t="s">
        <v>1588</v>
      </c>
      <c r="M1842" s="2" t="s">
        <v>213</v>
      </c>
      <c r="N1842" s="2" t="s">
        <v>8064</v>
      </c>
      <c r="O1842" s="2">
        <v>4</v>
      </c>
      <c r="P1842" s="2">
        <v>24</v>
      </c>
      <c r="Q1842" s="2" t="s">
        <v>46</v>
      </c>
      <c r="R1842" s="2" t="s">
        <v>47</v>
      </c>
      <c r="S1842" s="2">
        <v>0</v>
      </c>
      <c r="T1842" s="2">
        <v>0</v>
      </c>
      <c r="U1842" s="2">
        <v>0</v>
      </c>
      <c r="V1842" s="2">
        <v>0</v>
      </c>
      <c r="W1842" s="2">
        <v>6</v>
      </c>
      <c r="X1842" s="2" t="s">
        <v>8318</v>
      </c>
      <c r="Y1842" s="2">
        <v>1</v>
      </c>
      <c r="Z1842" s="2">
        <v>5</v>
      </c>
      <c r="AA1842" s="2">
        <v>5</v>
      </c>
      <c r="AB1842" s="2">
        <v>3</v>
      </c>
      <c r="AC1842" s="2">
        <v>1</v>
      </c>
      <c r="AD1842" s="2">
        <v>1</v>
      </c>
      <c r="AE1842" s="2" t="s">
        <v>0</v>
      </c>
      <c r="AF1842" s="2">
        <v>1</v>
      </c>
      <c r="AG1842" s="2" t="s">
        <v>49</v>
      </c>
    </row>
    <row r="1843" spans="1:33" ht="63.75" x14ac:dyDescent="0.2">
      <c r="A1843" s="5" t="str">
        <f>HYPERLINK("http://www.patentics.cn/invokexml.do?sf=ShowPatent&amp;spn=US8863192&amp;sv=1bdac0285e8af217bea668427d6c9637","US8863192")</f>
        <v>US8863192</v>
      </c>
      <c r="B1843" s="3" t="s">
        <v>8319</v>
      </c>
      <c r="C1843" s="3" t="s">
        <v>8320</v>
      </c>
      <c r="D1843" s="3" t="s">
        <v>52</v>
      </c>
      <c r="E1843" s="3" t="s">
        <v>52</v>
      </c>
      <c r="F1843" s="3" t="s">
        <v>8321</v>
      </c>
      <c r="G1843" s="3" t="s">
        <v>8322</v>
      </c>
      <c r="H1843" s="3" t="s">
        <v>2354</v>
      </c>
      <c r="I1843" s="3" t="s">
        <v>2354</v>
      </c>
      <c r="J1843" s="3" t="s">
        <v>1461</v>
      </c>
      <c r="K1843" s="3" t="s">
        <v>544</v>
      </c>
      <c r="L1843" s="3" t="s">
        <v>8323</v>
      </c>
      <c r="M1843" s="3" t="s">
        <v>1246</v>
      </c>
      <c r="N1843" s="3" t="s">
        <v>8324</v>
      </c>
      <c r="O1843" s="3">
        <v>0</v>
      </c>
      <c r="P1843" s="3">
        <v>14</v>
      </c>
      <c r="Q1843" s="3" t="s">
        <v>60</v>
      </c>
      <c r="R1843" s="3" t="s">
        <v>61</v>
      </c>
      <c r="S1843" s="3">
        <v>15</v>
      </c>
      <c r="T1843" s="3">
        <v>0</v>
      </c>
      <c r="U1843" s="3">
        <v>15</v>
      </c>
      <c r="V1843" s="3">
        <v>12</v>
      </c>
      <c r="W1843" s="3">
        <v>1</v>
      </c>
      <c r="X1843" s="3" t="s">
        <v>108</v>
      </c>
      <c r="Y1843" s="3">
        <v>0</v>
      </c>
      <c r="Z1843" s="3">
        <v>1</v>
      </c>
      <c r="AA1843" s="3">
        <v>1</v>
      </c>
      <c r="AB1843" s="3">
        <v>1</v>
      </c>
      <c r="AC1843" s="3">
        <v>7</v>
      </c>
      <c r="AD1843" s="3">
        <v>5</v>
      </c>
      <c r="AE1843" s="3">
        <v>14</v>
      </c>
      <c r="AF1843" s="3" t="s">
        <v>0</v>
      </c>
      <c r="AG1843" s="3" t="s">
        <v>49</v>
      </c>
    </row>
    <row r="1844" spans="1:33" ht="38.25" x14ac:dyDescent="0.2">
      <c r="A1844" s="4" t="str">
        <f>HYPERLINK("http://www.patentics.cn/invokexml.do?sf=ShowPatent&amp;spn=CN101098326&amp;sv=ff7489580f86ebce8d690b31ffe12951","CN101098326")</f>
        <v>CN101098326</v>
      </c>
      <c r="B1844" s="2" t="s">
        <v>8325</v>
      </c>
      <c r="C1844" s="2" t="s">
        <v>8326</v>
      </c>
      <c r="D1844" s="2" t="s">
        <v>38</v>
      </c>
      <c r="E1844" s="2" t="s">
        <v>38</v>
      </c>
      <c r="F1844" s="2" t="s">
        <v>8327</v>
      </c>
      <c r="G1844" s="2" t="s">
        <v>8328</v>
      </c>
      <c r="H1844" s="2" t="s">
        <v>8329</v>
      </c>
      <c r="I1844" s="2" t="s">
        <v>8329</v>
      </c>
      <c r="J1844" s="2" t="s">
        <v>8330</v>
      </c>
      <c r="K1844" s="2" t="s">
        <v>58</v>
      </c>
      <c r="L1844" s="2" t="s">
        <v>326</v>
      </c>
      <c r="M1844" s="2" t="s">
        <v>84</v>
      </c>
      <c r="N1844" s="2" t="s">
        <v>1301</v>
      </c>
      <c r="O1844" s="2">
        <v>4</v>
      </c>
      <c r="P1844" s="2">
        <v>17</v>
      </c>
      <c r="Q1844" s="2" t="s">
        <v>46</v>
      </c>
      <c r="R1844" s="2" t="s">
        <v>47</v>
      </c>
      <c r="S1844" s="2">
        <v>1</v>
      </c>
      <c r="T1844" s="2">
        <v>0</v>
      </c>
      <c r="U1844" s="2">
        <v>1</v>
      </c>
      <c r="V1844" s="2">
        <v>1</v>
      </c>
      <c r="W1844" s="2">
        <v>7</v>
      </c>
      <c r="X1844" s="2" t="s">
        <v>8331</v>
      </c>
      <c r="Y1844" s="2">
        <v>0</v>
      </c>
      <c r="Z1844" s="2">
        <v>7</v>
      </c>
      <c r="AA1844" s="2">
        <v>3</v>
      </c>
      <c r="AB1844" s="2">
        <v>3</v>
      </c>
      <c r="AC1844" s="2">
        <v>2</v>
      </c>
      <c r="AD1844" s="2">
        <v>2</v>
      </c>
      <c r="AE1844" s="2" t="s">
        <v>0</v>
      </c>
      <c r="AF1844" s="2">
        <v>1</v>
      </c>
      <c r="AG1844" s="2" t="s">
        <v>49</v>
      </c>
    </row>
    <row r="1845" spans="1:33" ht="51" x14ac:dyDescent="0.2">
      <c r="A1845" s="5" t="str">
        <f>HYPERLINK("http://www.patentics.cn/invokexml.do?sf=ShowPatent&amp;spn=US8964536&amp;sv=dae1c0af460784901014341bb18098c0","US8964536")</f>
        <v>US8964536</v>
      </c>
      <c r="B1845" s="3" t="s">
        <v>6586</v>
      </c>
      <c r="C1845" s="3" t="s">
        <v>6587</v>
      </c>
      <c r="D1845" s="3" t="s">
        <v>52</v>
      </c>
      <c r="E1845" s="3" t="s">
        <v>52</v>
      </c>
      <c r="F1845" s="3" t="s">
        <v>6588</v>
      </c>
      <c r="G1845" s="3" t="s">
        <v>6589</v>
      </c>
      <c r="H1845" s="3" t="s">
        <v>3022</v>
      </c>
      <c r="I1845" s="3" t="s">
        <v>6590</v>
      </c>
      <c r="J1845" s="3" t="s">
        <v>805</v>
      </c>
      <c r="K1845" s="3" t="s">
        <v>58</v>
      </c>
      <c r="L1845" s="3" t="s">
        <v>613</v>
      </c>
      <c r="M1845" s="3" t="s">
        <v>82</v>
      </c>
      <c r="N1845" s="3" t="s">
        <v>1052</v>
      </c>
      <c r="O1845" s="3">
        <v>0</v>
      </c>
      <c r="P1845" s="3">
        <v>17</v>
      </c>
      <c r="Q1845" s="3" t="s">
        <v>60</v>
      </c>
      <c r="R1845" s="3" t="s">
        <v>61</v>
      </c>
      <c r="S1845" s="3">
        <v>23</v>
      </c>
      <c r="T1845" s="3">
        <v>2</v>
      </c>
      <c r="U1845" s="3">
        <v>21</v>
      </c>
      <c r="V1845" s="3">
        <v>11</v>
      </c>
      <c r="W1845" s="3">
        <v>1</v>
      </c>
      <c r="X1845" s="3" t="s">
        <v>74</v>
      </c>
      <c r="Y1845" s="3">
        <v>0</v>
      </c>
      <c r="Z1845" s="3">
        <v>1</v>
      </c>
      <c r="AA1845" s="3">
        <v>1</v>
      </c>
      <c r="AB1845" s="3">
        <v>1</v>
      </c>
      <c r="AC1845" s="3">
        <v>9</v>
      </c>
      <c r="AD1845" s="3">
        <v>6</v>
      </c>
      <c r="AE1845" s="3">
        <v>14</v>
      </c>
      <c r="AF1845" s="3" t="s">
        <v>0</v>
      </c>
      <c r="AG1845" s="3" t="s">
        <v>49</v>
      </c>
    </row>
    <row r="1846" spans="1:33" ht="38.25" x14ac:dyDescent="0.2">
      <c r="A1846" s="4" t="str">
        <f>HYPERLINK("http://www.patentics.cn/invokexml.do?sf=ShowPatent&amp;spn=CN101094476&amp;sv=19a6cd2ee7f3e1a44e882123a52903fe","CN101094476")</f>
        <v>CN101094476</v>
      </c>
      <c r="B1846" s="2" t="s">
        <v>8332</v>
      </c>
      <c r="C1846" s="2" t="s">
        <v>8333</v>
      </c>
      <c r="D1846" s="2" t="s">
        <v>38</v>
      </c>
      <c r="E1846" s="2" t="s">
        <v>38</v>
      </c>
      <c r="F1846" s="2" t="s">
        <v>8334</v>
      </c>
      <c r="G1846" s="2" t="s">
        <v>8335</v>
      </c>
      <c r="H1846" s="2" t="s">
        <v>8336</v>
      </c>
      <c r="I1846" s="2" t="s">
        <v>8336</v>
      </c>
      <c r="J1846" s="2" t="s">
        <v>3920</v>
      </c>
      <c r="K1846" s="2" t="s">
        <v>43</v>
      </c>
      <c r="L1846" s="2" t="s">
        <v>2062</v>
      </c>
      <c r="M1846" s="2" t="s">
        <v>270</v>
      </c>
      <c r="N1846" s="2" t="s">
        <v>8337</v>
      </c>
      <c r="O1846" s="2">
        <v>9</v>
      </c>
      <c r="P1846" s="2">
        <v>8</v>
      </c>
      <c r="Q1846" s="2" t="s">
        <v>46</v>
      </c>
      <c r="R1846" s="2" t="s">
        <v>47</v>
      </c>
      <c r="S1846" s="2">
        <v>0</v>
      </c>
      <c r="T1846" s="2">
        <v>0</v>
      </c>
      <c r="U1846" s="2">
        <v>0</v>
      </c>
      <c r="V1846" s="2">
        <v>0</v>
      </c>
      <c r="W1846" s="2">
        <v>6</v>
      </c>
      <c r="X1846" s="2" t="s">
        <v>468</v>
      </c>
      <c r="Y1846" s="2">
        <v>0</v>
      </c>
      <c r="Z1846" s="2">
        <v>6</v>
      </c>
      <c r="AA1846" s="2">
        <v>2</v>
      </c>
      <c r="AB1846" s="2">
        <v>1</v>
      </c>
      <c r="AC1846" s="2">
        <v>1</v>
      </c>
      <c r="AD1846" s="2">
        <v>1</v>
      </c>
      <c r="AE1846" s="2" t="s">
        <v>0</v>
      </c>
      <c r="AF1846" s="2">
        <v>1</v>
      </c>
      <c r="AG1846" s="2" t="s">
        <v>49</v>
      </c>
    </row>
    <row r="1847" spans="1:33" ht="76.5" x14ac:dyDescent="0.2">
      <c r="A1847" s="5" t="str">
        <f>HYPERLINK("http://www.patentics.cn/invokexml.do?sf=ShowPatent&amp;spn=US9445385&amp;sv=1802ff2a71c6ff246326a5a11b533c39","US9445385")</f>
        <v>US9445385</v>
      </c>
      <c r="B1847" s="3" t="s">
        <v>8338</v>
      </c>
      <c r="C1847" s="3" t="s">
        <v>8339</v>
      </c>
      <c r="D1847" s="3" t="s">
        <v>52</v>
      </c>
      <c r="E1847" s="3" t="s">
        <v>52</v>
      </c>
      <c r="F1847" s="3" t="s">
        <v>8340</v>
      </c>
      <c r="G1847" s="3" t="s">
        <v>8341</v>
      </c>
      <c r="H1847" s="3" t="s">
        <v>0</v>
      </c>
      <c r="I1847" s="3" t="s">
        <v>1729</v>
      </c>
      <c r="J1847" s="3" t="s">
        <v>1422</v>
      </c>
      <c r="K1847" s="3" t="s">
        <v>82</v>
      </c>
      <c r="L1847" s="3" t="s">
        <v>83</v>
      </c>
      <c r="M1847" s="3" t="s">
        <v>82</v>
      </c>
      <c r="N1847" s="3" t="s">
        <v>3214</v>
      </c>
      <c r="O1847" s="3">
        <v>0</v>
      </c>
      <c r="P1847" s="3">
        <v>15</v>
      </c>
      <c r="Q1847" s="3" t="s">
        <v>60</v>
      </c>
      <c r="R1847" s="3" t="s">
        <v>61</v>
      </c>
      <c r="S1847" s="3">
        <v>13</v>
      </c>
      <c r="T1847" s="3">
        <v>2</v>
      </c>
      <c r="U1847" s="3">
        <v>11</v>
      </c>
      <c r="V1847" s="3">
        <v>9</v>
      </c>
      <c r="W1847" s="3">
        <v>0</v>
      </c>
      <c r="X1847" s="3" t="s">
        <v>147</v>
      </c>
      <c r="Y1847" s="3">
        <v>0</v>
      </c>
      <c r="Z1847" s="3">
        <v>0</v>
      </c>
      <c r="AA1847" s="3">
        <v>0</v>
      </c>
      <c r="AB1847" s="3">
        <v>0</v>
      </c>
      <c r="AC1847" s="3">
        <v>0</v>
      </c>
      <c r="AD1847" s="3">
        <v>0</v>
      </c>
      <c r="AE1847" s="3">
        <v>14</v>
      </c>
      <c r="AF1847" s="3" t="s">
        <v>0</v>
      </c>
      <c r="AG1847" s="3" t="s">
        <v>49</v>
      </c>
    </row>
    <row r="1848" spans="1:33" ht="38.25" x14ac:dyDescent="0.2">
      <c r="A1848" s="4" t="str">
        <f>HYPERLINK("http://www.patentics.cn/invokexml.do?sf=ShowPatent&amp;spn=CN101094513&amp;sv=c6d651069bdaac9fdb47e7c33f6ee2e0","CN101094513")</f>
        <v>CN101094513</v>
      </c>
      <c r="B1848" s="2" t="s">
        <v>8342</v>
      </c>
      <c r="C1848" s="2" t="s">
        <v>8343</v>
      </c>
      <c r="D1848" s="2" t="s">
        <v>38</v>
      </c>
      <c r="E1848" s="2" t="s">
        <v>38</v>
      </c>
      <c r="F1848" s="2" t="s">
        <v>8344</v>
      </c>
      <c r="G1848" s="2" t="s">
        <v>8345</v>
      </c>
      <c r="H1848" s="2" t="s">
        <v>791</v>
      </c>
      <c r="I1848" s="2" t="s">
        <v>791</v>
      </c>
      <c r="J1848" s="2" t="s">
        <v>3920</v>
      </c>
      <c r="K1848" s="2" t="s">
        <v>43</v>
      </c>
      <c r="L1848" s="2" t="s">
        <v>2591</v>
      </c>
      <c r="M1848" s="2" t="s">
        <v>43</v>
      </c>
      <c r="N1848" s="2" t="s">
        <v>2146</v>
      </c>
      <c r="O1848" s="2">
        <v>8</v>
      </c>
      <c r="P1848" s="2">
        <v>25</v>
      </c>
      <c r="Q1848" s="2" t="s">
        <v>46</v>
      </c>
      <c r="R1848" s="2" t="s">
        <v>47</v>
      </c>
      <c r="S1848" s="2">
        <v>0</v>
      </c>
      <c r="T1848" s="2">
        <v>0</v>
      </c>
      <c r="U1848" s="2">
        <v>0</v>
      </c>
      <c r="V1848" s="2">
        <v>0</v>
      </c>
      <c r="W1848" s="2">
        <v>7</v>
      </c>
      <c r="X1848" s="2" t="s">
        <v>8346</v>
      </c>
      <c r="Y1848" s="2">
        <v>3</v>
      </c>
      <c r="Z1848" s="2">
        <v>4</v>
      </c>
      <c r="AA1848" s="2">
        <v>5</v>
      </c>
      <c r="AB1848" s="2">
        <v>3</v>
      </c>
      <c r="AC1848" s="2">
        <v>1</v>
      </c>
      <c r="AD1848" s="2">
        <v>2</v>
      </c>
      <c r="AE1848" s="2" t="s">
        <v>0</v>
      </c>
      <c r="AF1848" s="2">
        <v>1</v>
      </c>
      <c r="AG1848" s="2" t="s">
        <v>547</v>
      </c>
    </row>
    <row r="1849" spans="1:33" ht="51" x14ac:dyDescent="0.2">
      <c r="A1849" s="5" t="str">
        <f>HYPERLINK("http://www.patentics.cn/invokexml.do?sf=ShowPatent&amp;spn=CN103314624B&amp;sv=50c21a84d8e3685a9fb5faa71cf61b8d","CN103314624B")</f>
        <v>CN103314624B</v>
      </c>
      <c r="B1849" s="3" t="s">
        <v>8204</v>
      </c>
      <c r="C1849" s="3" t="s">
        <v>8205</v>
      </c>
      <c r="D1849" s="3" t="s">
        <v>338</v>
      </c>
      <c r="E1849" s="3" t="s">
        <v>338</v>
      </c>
      <c r="F1849" s="3" t="s">
        <v>8206</v>
      </c>
      <c r="G1849" s="3" t="s">
        <v>8207</v>
      </c>
      <c r="H1849" s="3" t="s">
        <v>8208</v>
      </c>
      <c r="I1849" s="3" t="s">
        <v>2464</v>
      </c>
      <c r="J1849" s="3" t="s">
        <v>5483</v>
      </c>
      <c r="K1849" s="3" t="s">
        <v>82</v>
      </c>
      <c r="L1849" s="3" t="s">
        <v>1444</v>
      </c>
      <c r="M1849" s="3" t="s">
        <v>0</v>
      </c>
      <c r="N1849" s="3" t="s">
        <v>0</v>
      </c>
      <c r="O1849" s="3">
        <v>16</v>
      </c>
      <c r="P1849" s="3">
        <v>22</v>
      </c>
      <c r="Q1849" s="3" t="s">
        <v>60</v>
      </c>
      <c r="R1849" s="3" t="s">
        <v>61</v>
      </c>
      <c r="S1849" s="3">
        <v>2</v>
      </c>
      <c r="T1849" s="3">
        <v>0</v>
      </c>
      <c r="U1849" s="3">
        <v>2</v>
      </c>
      <c r="V1849" s="3">
        <v>1</v>
      </c>
      <c r="W1849" s="3">
        <v>0</v>
      </c>
      <c r="X1849" s="3" t="s">
        <v>147</v>
      </c>
      <c r="Y1849" s="3">
        <v>0</v>
      </c>
      <c r="Z1849" s="3">
        <v>0</v>
      </c>
      <c r="AA1849" s="3">
        <v>0</v>
      </c>
      <c r="AB1849" s="3">
        <v>0</v>
      </c>
      <c r="AC1849" s="3">
        <v>0</v>
      </c>
      <c r="AD1849" s="3">
        <v>0</v>
      </c>
      <c r="AE1849" s="3">
        <v>14</v>
      </c>
      <c r="AF1849" s="3" t="s">
        <v>0</v>
      </c>
      <c r="AG1849" s="3" t="s">
        <v>49</v>
      </c>
    </row>
    <row r="1850" spans="1:33" ht="38.25" x14ac:dyDescent="0.2">
      <c r="A1850" s="4" t="str">
        <f>HYPERLINK("http://www.patentics.cn/invokexml.do?sf=ShowPatent&amp;spn=CN101090526&amp;sv=b880e7dde32f98ed21ae545cc84c0bc3","CN101090526")</f>
        <v>CN101090526</v>
      </c>
      <c r="B1850" s="2" t="s">
        <v>8347</v>
      </c>
      <c r="C1850" s="2" t="s">
        <v>8348</v>
      </c>
      <c r="D1850" s="2" t="s">
        <v>38</v>
      </c>
      <c r="E1850" s="2" t="s">
        <v>38</v>
      </c>
      <c r="F1850" s="2" t="s">
        <v>8349</v>
      </c>
      <c r="G1850" s="2" t="s">
        <v>8317</v>
      </c>
      <c r="H1850" s="2" t="s">
        <v>0</v>
      </c>
      <c r="I1850" s="2" t="s">
        <v>3591</v>
      </c>
      <c r="J1850" s="2" t="s">
        <v>1299</v>
      </c>
      <c r="K1850" s="2" t="s">
        <v>43</v>
      </c>
      <c r="L1850" s="2" t="s">
        <v>1588</v>
      </c>
      <c r="M1850" s="2" t="s">
        <v>544</v>
      </c>
      <c r="N1850" s="2" t="s">
        <v>5513</v>
      </c>
      <c r="O1850" s="2">
        <v>4</v>
      </c>
      <c r="P1850" s="2">
        <v>21</v>
      </c>
      <c r="Q1850" s="2" t="s">
        <v>46</v>
      </c>
      <c r="R1850" s="2" t="s">
        <v>47</v>
      </c>
      <c r="S1850" s="2">
        <v>0</v>
      </c>
      <c r="T1850" s="2">
        <v>0</v>
      </c>
      <c r="U1850" s="2">
        <v>0</v>
      </c>
      <c r="V1850" s="2">
        <v>0</v>
      </c>
      <c r="W1850" s="2">
        <v>5</v>
      </c>
      <c r="X1850" s="2" t="s">
        <v>8350</v>
      </c>
      <c r="Y1850" s="2">
        <v>0</v>
      </c>
      <c r="Z1850" s="2">
        <v>5</v>
      </c>
      <c r="AA1850" s="2">
        <v>2</v>
      </c>
      <c r="AB1850" s="2">
        <v>3</v>
      </c>
      <c r="AC1850" s="2">
        <v>0</v>
      </c>
      <c r="AD1850" s="2">
        <v>0</v>
      </c>
      <c r="AE1850" s="2" t="s">
        <v>0</v>
      </c>
      <c r="AF1850" s="2">
        <v>1</v>
      </c>
      <c r="AG1850" s="2" t="s">
        <v>2523</v>
      </c>
    </row>
    <row r="1851" spans="1:33" ht="63.75" x14ac:dyDescent="0.2">
      <c r="A1851" s="5" t="str">
        <f>HYPERLINK("http://www.patentics.cn/invokexml.do?sf=ShowPatent&amp;spn=US8863192&amp;sv=1bdac0285e8af217bea668427d6c9637","US8863192")</f>
        <v>US8863192</v>
      </c>
      <c r="B1851" s="3" t="s">
        <v>8319</v>
      </c>
      <c r="C1851" s="3" t="s">
        <v>8320</v>
      </c>
      <c r="D1851" s="3" t="s">
        <v>52</v>
      </c>
      <c r="E1851" s="3" t="s">
        <v>52</v>
      </c>
      <c r="F1851" s="3" t="s">
        <v>8321</v>
      </c>
      <c r="G1851" s="3" t="s">
        <v>8322</v>
      </c>
      <c r="H1851" s="3" t="s">
        <v>2354</v>
      </c>
      <c r="I1851" s="3" t="s">
        <v>2354</v>
      </c>
      <c r="J1851" s="3" t="s">
        <v>1461</v>
      </c>
      <c r="K1851" s="3" t="s">
        <v>544</v>
      </c>
      <c r="L1851" s="3" t="s">
        <v>8323</v>
      </c>
      <c r="M1851" s="3" t="s">
        <v>1246</v>
      </c>
      <c r="N1851" s="3" t="s">
        <v>8324</v>
      </c>
      <c r="O1851" s="3">
        <v>0</v>
      </c>
      <c r="P1851" s="3">
        <v>14</v>
      </c>
      <c r="Q1851" s="3" t="s">
        <v>60</v>
      </c>
      <c r="R1851" s="3" t="s">
        <v>61</v>
      </c>
      <c r="S1851" s="3">
        <v>15</v>
      </c>
      <c r="T1851" s="3">
        <v>0</v>
      </c>
      <c r="U1851" s="3">
        <v>15</v>
      </c>
      <c r="V1851" s="3">
        <v>12</v>
      </c>
      <c r="W1851" s="3">
        <v>1</v>
      </c>
      <c r="X1851" s="3" t="s">
        <v>108</v>
      </c>
      <c r="Y1851" s="3">
        <v>0</v>
      </c>
      <c r="Z1851" s="3">
        <v>1</v>
      </c>
      <c r="AA1851" s="3">
        <v>1</v>
      </c>
      <c r="AB1851" s="3">
        <v>1</v>
      </c>
      <c r="AC1851" s="3">
        <v>7</v>
      </c>
      <c r="AD1851" s="3">
        <v>5</v>
      </c>
      <c r="AE1851" s="3">
        <v>14</v>
      </c>
      <c r="AF1851" s="3" t="s">
        <v>0</v>
      </c>
      <c r="AG1851" s="3" t="s">
        <v>49</v>
      </c>
    </row>
    <row r="1852" spans="1:33" ht="25.5" x14ac:dyDescent="0.2">
      <c r="A1852" s="4" t="str">
        <f>HYPERLINK("http://www.patentics.cn/invokexml.do?sf=ShowPatent&amp;spn=CN101087475&amp;sv=7a9d2ba4e4a8e8e95754094dffc67024","CN101087475")</f>
        <v>CN101087475</v>
      </c>
      <c r="B1852" s="2" t="s">
        <v>8351</v>
      </c>
      <c r="C1852" s="2" t="s">
        <v>8352</v>
      </c>
      <c r="D1852" s="2" t="s">
        <v>38</v>
      </c>
      <c r="E1852" s="2" t="s">
        <v>38</v>
      </c>
      <c r="F1852" s="2" t="s">
        <v>8353</v>
      </c>
      <c r="G1852" s="2" t="s">
        <v>8354</v>
      </c>
      <c r="H1852" s="2" t="s">
        <v>8355</v>
      </c>
      <c r="I1852" s="2" t="s">
        <v>8355</v>
      </c>
      <c r="J1852" s="2" t="s">
        <v>1336</v>
      </c>
      <c r="K1852" s="2" t="s">
        <v>43</v>
      </c>
      <c r="L1852" s="2" t="s">
        <v>2591</v>
      </c>
      <c r="M1852" s="2" t="s">
        <v>58</v>
      </c>
      <c r="N1852" s="2" t="s">
        <v>1785</v>
      </c>
      <c r="O1852" s="2">
        <v>14</v>
      </c>
      <c r="P1852" s="2">
        <v>59</v>
      </c>
      <c r="Q1852" s="2" t="s">
        <v>46</v>
      </c>
      <c r="R1852" s="2" t="s">
        <v>47</v>
      </c>
      <c r="S1852" s="2">
        <v>0</v>
      </c>
      <c r="T1852" s="2">
        <v>0</v>
      </c>
      <c r="U1852" s="2">
        <v>0</v>
      </c>
      <c r="V1852" s="2">
        <v>0</v>
      </c>
      <c r="W1852" s="2">
        <v>31</v>
      </c>
      <c r="X1852" s="2" t="s">
        <v>8356</v>
      </c>
      <c r="Y1852" s="2">
        <v>6</v>
      </c>
      <c r="Z1852" s="2">
        <v>25</v>
      </c>
      <c r="AA1852" s="2">
        <v>7</v>
      </c>
      <c r="AB1852" s="2">
        <v>4</v>
      </c>
      <c r="AC1852" s="2">
        <v>1</v>
      </c>
      <c r="AD1852" s="2">
        <v>1</v>
      </c>
      <c r="AE1852" s="2" t="s">
        <v>0</v>
      </c>
      <c r="AF1852" s="2">
        <v>1</v>
      </c>
      <c r="AG1852" s="2" t="s">
        <v>755</v>
      </c>
    </row>
    <row r="1853" spans="1:33" ht="89.25" x14ac:dyDescent="0.2">
      <c r="A1853" s="5" t="str">
        <f>HYPERLINK("http://www.patentics.cn/invokexml.do?sf=ShowPatent&amp;spn=WO2014161225&amp;sv=88275176766eec675af8d99585381af5","WO2014161225")</f>
        <v>WO2014161225</v>
      </c>
      <c r="B1853" s="3" t="s">
        <v>8357</v>
      </c>
      <c r="C1853" s="3" t="s">
        <v>6709</v>
      </c>
      <c r="D1853" s="3" t="s">
        <v>6710</v>
      </c>
      <c r="E1853" s="3" t="s">
        <v>6711</v>
      </c>
      <c r="F1853" s="3" t="s">
        <v>6712</v>
      </c>
      <c r="G1853" s="3" t="s">
        <v>6713</v>
      </c>
      <c r="H1853" s="3" t="s">
        <v>5849</v>
      </c>
      <c r="I1853" s="3" t="s">
        <v>81</v>
      </c>
      <c r="J1853" s="3" t="s">
        <v>3344</v>
      </c>
      <c r="K1853" s="3" t="s">
        <v>82</v>
      </c>
      <c r="L1853" s="3" t="s">
        <v>1010</v>
      </c>
      <c r="M1853" s="3" t="s">
        <v>0</v>
      </c>
      <c r="N1853" s="3" t="s">
        <v>0</v>
      </c>
      <c r="O1853" s="3">
        <v>28</v>
      </c>
      <c r="P1853" s="3">
        <v>19</v>
      </c>
      <c r="Q1853" s="3" t="s">
        <v>352</v>
      </c>
      <c r="R1853" s="3" t="s">
        <v>47</v>
      </c>
      <c r="S1853" s="3">
        <v>4</v>
      </c>
      <c r="T1853" s="3">
        <v>0</v>
      </c>
      <c r="U1853" s="3">
        <v>4</v>
      </c>
      <c r="V1853" s="3">
        <v>4</v>
      </c>
      <c r="W1853" s="3">
        <v>0</v>
      </c>
      <c r="X1853" s="3" t="s">
        <v>147</v>
      </c>
      <c r="Y1853" s="3">
        <v>0</v>
      </c>
      <c r="Z1853" s="3">
        <v>0</v>
      </c>
      <c r="AA1853" s="3">
        <v>0</v>
      </c>
      <c r="AB1853" s="3">
        <v>0</v>
      </c>
      <c r="AC1853" s="3">
        <v>2</v>
      </c>
      <c r="AD1853" s="3">
        <v>2</v>
      </c>
      <c r="AE1853" s="3">
        <v>14</v>
      </c>
      <c r="AF1853" s="3" t="s">
        <v>0</v>
      </c>
      <c r="AG1853" s="3" t="s">
        <v>0</v>
      </c>
    </row>
    <row r="1854" spans="1:33" ht="51" x14ac:dyDescent="0.2">
      <c r="A1854" s="4" t="str">
        <f>HYPERLINK("http://www.patentics.cn/invokexml.do?sf=ShowPatent&amp;spn=CN101079640&amp;sv=8b4e1037dd557ba35abb1058217ba9ae","CN101079640")</f>
        <v>CN101079640</v>
      </c>
      <c r="B1854" s="2" t="s">
        <v>8358</v>
      </c>
      <c r="C1854" s="2" t="s">
        <v>8359</v>
      </c>
      <c r="D1854" s="2" t="s">
        <v>38</v>
      </c>
      <c r="E1854" s="2" t="s">
        <v>38</v>
      </c>
      <c r="F1854" s="2" t="s">
        <v>8360</v>
      </c>
      <c r="G1854" s="2" t="s">
        <v>8361</v>
      </c>
      <c r="H1854" s="2" t="s">
        <v>7970</v>
      </c>
      <c r="I1854" s="2" t="s">
        <v>7970</v>
      </c>
      <c r="J1854" s="2" t="s">
        <v>8362</v>
      </c>
      <c r="K1854" s="2" t="s">
        <v>95</v>
      </c>
      <c r="L1854" s="2" t="s">
        <v>8363</v>
      </c>
      <c r="M1854" s="2" t="s">
        <v>95</v>
      </c>
      <c r="N1854" s="2" t="s">
        <v>4088</v>
      </c>
      <c r="O1854" s="2">
        <v>10</v>
      </c>
      <c r="P1854" s="2">
        <v>21</v>
      </c>
      <c r="Q1854" s="2" t="s">
        <v>46</v>
      </c>
      <c r="R1854" s="2" t="s">
        <v>47</v>
      </c>
      <c r="S1854" s="2">
        <v>0</v>
      </c>
      <c r="T1854" s="2">
        <v>0</v>
      </c>
      <c r="U1854" s="2">
        <v>0</v>
      </c>
      <c r="V1854" s="2">
        <v>0</v>
      </c>
      <c r="W1854" s="2">
        <v>4</v>
      </c>
      <c r="X1854" s="2" t="s">
        <v>7914</v>
      </c>
      <c r="Y1854" s="2">
        <v>0</v>
      </c>
      <c r="Z1854" s="2">
        <v>4</v>
      </c>
      <c r="AA1854" s="2">
        <v>4</v>
      </c>
      <c r="AB1854" s="2">
        <v>1</v>
      </c>
      <c r="AC1854" s="2">
        <v>1</v>
      </c>
      <c r="AD1854" s="2">
        <v>1</v>
      </c>
      <c r="AE1854" s="2" t="s">
        <v>0</v>
      </c>
      <c r="AF1854" s="2">
        <v>1</v>
      </c>
      <c r="AG1854" s="2" t="s">
        <v>49</v>
      </c>
    </row>
    <row r="1855" spans="1:33" ht="25.5" x14ac:dyDescent="0.2">
      <c r="A1855" s="5" t="str">
        <f>HYPERLINK("http://www.patentics.cn/invokexml.do?sf=ShowPatent&amp;spn=CN101834615B&amp;sv=3028f3c88d2c4c397cd2f6d316c75d76","CN101834615B")</f>
        <v>CN101834615B</v>
      </c>
      <c r="B1855" s="3" t="s">
        <v>8364</v>
      </c>
      <c r="C1855" s="3" t="s">
        <v>8365</v>
      </c>
      <c r="D1855" s="3" t="s">
        <v>8287</v>
      </c>
      <c r="E1855" s="3" t="s">
        <v>338</v>
      </c>
      <c r="F1855" s="3" t="s">
        <v>8366</v>
      </c>
      <c r="G1855" s="3" t="s">
        <v>8367</v>
      </c>
      <c r="H1855" s="3" t="s">
        <v>5703</v>
      </c>
      <c r="I1855" s="3" t="s">
        <v>5703</v>
      </c>
      <c r="J1855" s="3" t="s">
        <v>8368</v>
      </c>
      <c r="K1855" s="3" t="s">
        <v>95</v>
      </c>
      <c r="L1855" s="3" t="s">
        <v>8363</v>
      </c>
      <c r="M1855" s="3" t="s">
        <v>0</v>
      </c>
      <c r="N1855" s="3" t="s">
        <v>0</v>
      </c>
      <c r="O1855" s="3">
        <v>3</v>
      </c>
      <c r="P1855" s="3">
        <v>36</v>
      </c>
      <c r="Q1855" s="3" t="s">
        <v>60</v>
      </c>
      <c r="R1855" s="3" t="s">
        <v>47</v>
      </c>
      <c r="S1855" s="3">
        <v>4</v>
      </c>
      <c r="T1855" s="3">
        <v>0</v>
      </c>
      <c r="U1855" s="3">
        <v>4</v>
      </c>
      <c r="V1855" s="3">
        <v>3</v>
      </c>
      <c r="W1855" s="3">
        <v>0</v>
      </c>
      <c r="X1855" s="3" t="s">
        <v>147</v>
      </c>
      <c r="Y1855" s="3">
        <v>0</v>
      </c>
      <c r="Z1855" s="3">
        <v>0</v>
      </c>
      <c r="AA1855" s="3">
        <v>0</v>
      </c>
      <c r="AB1855" s="3">
        <v>0</v>
      </c>
      <c r="AC1855" s="3">
        <v>1</v>
      </c>
      <c r="AD1855" s="3">
        <v>1</v>
      </c>
      <c r="AE1855" s="3">
        <v>14</v>
      </c>
      <c r="AF1855" s="3" t="s">
        <v>0</v>
      </c>
      <c r="AG1855" s="3" t="s">
        <v>755</v>
      </c>
    </row>
    <row r="1856" spans="1:33" ht="25.5" x14ac:dyDescent="0.2">
      <c r="A1856" s="4" t="str">
        <f>HYPERLINK("http://www.patentics.cn/invokexml.do?sf=ShowPatent&amp;spn=CN101072438&amp;sv=d52f24b7236c1d005c0bb0da46951eb7","CN101072438")</f>
        <v>CN101072438</v>
      </c>
      <c r="B1856" s="2" t="s">
        <v>8369</v>
      </c>
      <c r="C1856" s="2" t="s">
        <v>8370</v>
      </c>
      <c r="D1856" s="2" t="s">
        <v>38</v>
      </c>
      <c r="E1856" s="2" t="s">
        <v>38</v>
      </c>
      <c r="F1856" s="2" t="s">
        <v>8371</v>
      </c>
      <c r="G1856" s="2" t="s">
        <v>8371</v>
      </c>
      <c r="H1856" s="2" t="s">
        <v>8372</v>
      </c>
      <c r="I1856" s="2" t="s">
        <v>8372</v>
      </c>
      <c r="J1856" s="2" t="s">
        <v>3945</v>
      </c>
      <c r="K1856" s="2" t="s">
        <v>43</v>
      </c>
      <c r="L1856" s="2" t="s">
        <v>2591</v>
      </c>
      <c r="M1856" s="2" t="s">
        <v>84</v>
      </c>
      <c r="N1856" s="2" t="s">
        <v>2183</v>
      </c>
      <c r="O1856" s="2">
        <v>10</v>
      </c>
      <c r="P1856" s="2">
        <v>26</v>
      </c>
      <c r="Q1856" s="2" t="s">
        <v>46</v>
      </c>
      <c r="R1856" s="2" t="s">
        <v>47</v>
      </c>
      <c r="S1856" s="2">
        <v>0</v>
      </c>
      <c r="T1856" s="2">
        <v>0</v>
      </c>
      <c r="U1856" s="2">
        <v>0</v>
      </c>
      <c r="V1856" s="2">
        <v>0</v>
      </c>
      <c r="W1856" s="2">
        <v>4</v>
      </c>
      <c r="X1856" s="2" t="s">
        <v>8373</v>
      </c>
      <c r="Y1856" s="2">
        <v>2</v>
      </c>
      <c r="Z1856" s="2">
        <v>2</v>
      </c>
      <c r="AA1856" s="2">
        <v>3</v>
      </c>
      <c r="AB1856" s="2">
        <v>2</v>
      </c>
      <c r="AC1856" s="2">
        <v>1</v>
      </c>
      <c r="AD1856" s="2">
        <v>1</v>
      </c>
      <c r="AE1856" s="2" t="s">
        <v>0</v>
      </c>
      <c r="AF1856" s="2">
        <v>1</v>
      </c>
      <c r="AG1856" s="2" t="s">
        <v>49</v>
      </c>
    </row>
    <row r="1857" spans="1:33" ht="63.75" x14ac:dyDescent="0.2">
      <c r="A1857" s="5" t="str">
        <f>HYPERLINK("http://www.patentics.cn/invokexml.do?sf=ShowPatent&amp;spn=WO2014094208&amp;sv=e28304df5e0cfdbb0a79fc1d69a389e8","WO2014094208")</f>
        <v>WO2014094208</v>
      </c>
      <c r="B1857" s="3" t="s">
        <v>8374</v>
      </c>
      <c r="C1857" s="3" t="s">
        <v>7291</v>
      </c>
      <c r="D1857" s="3" t="s">
        <v>7292</v>
      </c>
      <c r="E1857" s="3" t="s">
        <v>7293</v>
      </c>
      <c r="F1857" s="3" t="s">
        <v>7294</v>
      </c>
      <c r="G1857" s="3" t="s">
        <v>7128</v>
      </c>
      <c r="H1857" s="3" t="s">
        <v>5079</v>
      </c>
      <c r="I1857" s="3" t="s">
        <v>5079</v>
      </c>
      <c r="J1857" s="3" t="s">
        <v>5080</v>
      </c>
      <c r="K1857" s="3" t="s">
        <v>43</v>
      </c>
      <c r="L1857" s="3" t="s">
        <v>44</v>
      </c>
      <c r="M1857" s="3" t="s">
        <v>0</v>
      </c>
      <c r="N1857" s="3" t="s">
        <v>0</v>
      </c>
      <c r="O1857" s="3">
        <v>11</v>
      </c>
      <c r="P1857" s="3">
        <v>8</v>
      </c>
      <c r="Q1857" s="3" t="s">
        <v>352</v>
      </c>
      <c r="R1857" s="3" t="s">
        <v>47</v>
      </c>
      <c r="S1857" s="3">
        <v>3</v>
      </c>
      <c r="T1857" s="3">
        <v>0</v>
      </c>
      <c r="U1857" s="3">
        <v>3</v>
      </c>
      <c r="V1857" s="3">
        <v>3</v>
      </c>
      <c r="W1857" s="3">
        <v>0</v>
      </c>
      <c r="X1857" s="3" t="s">
        <v>147</v>
      </c>
      <c r="Y1857" s="3">
        <v>0</v>
      </c>
      <c r="Z1857" s="3">
        <v>0</v>
      </c>
      <c r="AA1857" s="3">
        <v>0</v>
      </c>
      <c r="AB1857" s="3">
        <v>0</v>
      </c>
      <c r="AC1857" s="3">
        <v>1</v>
      </c>
      <c r="AD1857" s="3">
        <v>1</v>
      </c>
      <c r="AE1857" s="3">
        <v>14</v>
      </c>
      <c r="AF1857" s="3" t="s">
        <v>0</v>
      </c>
      <c r="AG1857" s="3" t="s">
        <v>0</v>
      </c>
    </row>
    <row r="1858" spans="1:33" ht="25.5" x14ac:dyDescent="0.2">
      <c r="A1858" s="4" t="str">
        <f>HYPERLINK("http://www.patentics.cn/invokexml.do?sf=ShowPatent&amp;spn=CN101068122&amp;sv=27bc44834f46c77344a61e056775ceb3","CN101068122")</f>
        <v>CN101068122</v>
      </c>
      <c r="B1858" s="2" t="s">
        <v>8375</v>
      </c>
      <c r="C1858" s="2" t="s">
        <v>8376</v>
      </c>
      <c r="D1858" s="2" t="s">
        <v>38</v>
      </c>
      <c r="E1858" s="2" t="s">
        <v>38</v>
      </c>
      <c r="F1858" s="2" t="s">
        <v>8377</v>
      </c>
      <c r="G1858" s="2" t="s">
        <v>8377</v>
      </c>
      <c r="H1858" s="2" t="s">
        <v>8378</v>
      </c>
      <c r="I1858" s="2" t="s">
        <v>8378</v>
      </c>
      <c r="J1858" s="2" t="s">
        <v>5845</v>
      </c>
      <c r="K1858" s="2" t="s">
        <v>84</v>
      </c>
      <c r="L1858" s="2" t="s">
        <v>537</v>
      </c>
      <c r="M1858" s="2" t="s">
        <v>43</v>
      </c>
      <c r="N1858" s="2" t="s">
        <v>3004</v>
      </c>
      <c r="O1858" s="2">
        <v>10</v>
      </c>
      <c r="P1858" s="2">
        <v>12</v>
      </c>
      <c r="Q1858" s="2" t="s">
        <v>46</v>
      </c>
      <c r="R1858" s="2" t="s">
        <v>47</v>
      </c>
      <c r="S1858" s="2">
        <v>0</v>
      </c>
      <c r="T1858" s="2">
        <v>0</v>
      </c>
      <c r="U1858" s="2">
        <v>0</v>
      </c>
      <c r="V1858" s="2">
        <v>0</v>
      </c>
      <c r="W1858" s="2">
        <v>3</v>
      </c>
      <c r="X1858" s="2" t="s">
        <v>8379</v>
      </c>
      <c r="Y1858" s="2">
        <v>2</v>
      </c>
      <c r="Z1858" s="2">
        <v>1</v>
      </c>
      <c r="AA1858" s="2">
        <v>2</v>
      </c>
      <c r="AB1858" s="2">
        <v>3</v>
      </c>
      <c r="AC1858" s="2">
        <v>1</v>
      </c>
      <c r="AD1858" s="2">
        <v>1</v>
      </c>
      <c r="AE1858" s="2" t="s">
        <v>0</v>
      </c>
      <c r="AF1858" s="2">
        <v>1</v>
      </c>
      <c r="AG1858" s="2" t="s">
        <v>49</v>
      </c>
    </row>
    <row r="1859" spans="1:33" ht="63.75" x14ac:dyDescent="0.2">
      <c r="A1859" s="5" t="str">
        <f>HYPERLINK("http://www.patentics.cn/invokexml.do?sf=ShowPatent&amp;spn=US9084201&amp;sv=3601bc77a952ea17e5fcab8a65002065","US9084201")</f>
        <v>US9084201</v>
      </c>
      <c r="B1859" s="3" t="s">
        <v>8380</v>
      </c>
      <c r="C1859" s="3" t="s">
        <v>8381</v>
      </c>
      <c r="D1859" s="3" t="s">
        <v>52</v>
      </c>
      <c r="E1859" s="3" t="s">
        <v>52</v>
      </c>
      <c r="F1859" s="3" t="s">
        <v>8382</v>
      </c>
      <c r="G1859" s="3" t="s">
        <v>8383</v>
      </c>
      <c r="H1859" s="3" t="s">
        <v>8384</v>
      </c>
      <c r="I1859" s="3" t="s">
        <v>8385</v>
      </c>
      <c r="J1859" s="3" t="s">
        <v>2926</v>
      </c>
      <c r="K1859" s="3" t="s">
        <v>84</v>
      </c>
      <c r="L1859" s="3" t="s">
        <v>537</v>
      </c>
      <c r="M1859" s="3" t="s">
        <v>0</v>
      </c>
      <c r="N1859" s="3" t="s">
        <v>0</v>
      </c>
      <c r="O1859" s="3">
        <v>0</v>
      </c>
      <c r="P1859" s="3">
        <v>17</v>
      </c>
      <c r="Q1859" s="3" t="s">
        <v>60</v>
      </c>
      <c r="R1859" s="3" t="s">
        <v>61</v>
      </c>
      <c r="S1859" s="3">
        <v>14</v>
      </c>
      <c r="T1859" s="3">
        <v>2</v>
      </c>
      <c r="U1859" s="3">
        <v>12</v>
      </c>
      <c r="V1859" s="3">
        <v>9</v>
      </c>
      <c r="W1859" s="3">
        <v>0</v>
      </c>
      <c r="X1859" s="3" t="s">
        <v>147</v>
      </c>
      <c r="Y1859" s="3">
        <v>0</v>
      </c>
      <c r="Z1859" s="3">
        <v>0</v>
      </c>
      <c r="AA1859" s="3">
        <v>0</v>
      </c>
      <c r="AB1859" s="3">
        <v>0</v>
      </c>
      <c r="AC1859" s="3">
        <v>23</v>
      </c>
      <c r="AD1859" s="3">
        <v>16</v>
      </c>
      <c r="AE1859" s="3">
        <v>14</v>
      </c>
      <c r="AF1859" s="3" t="s">
        <v>0</v>
      </c>
      <c r="AG1859" s="3" t="s">
        <v>49</v>
      </c>
    </row>
    <row r="1860" spans="1:33" ht="38.25" x14ac:dyDescent="0.2">
      <c r="A1860" s="4" t="str">
        <f>HYPERLINK("http://www.patentics.cn/invokexml.do?sf=ShowPatent&amp;spn=CN101060473&amp;sv=1a05baea5455fdf2109edb7b549144b8","CN101060473")</f>
        <v>CN101060473</v>
      </c>
      <c r="B1860" s="2" t="s">
        <v>8386</v>
      </c>
      <c r="C1860" s="2" t="s">
        <v>8387</v>
      </c>
      <c r="D1860" s="2" t="s">
        <v>38</v>
      </c>
      <c r="E1860" s="2" t="s">
        <v>38</v>
      </c>
      <c r="F1860" s="2" t="s">
        <v>8388</v>
      </c>
      <c r="G1860" s="2" t="s">
        <v>8389</v>
      </c>
      <c r="H1860" s="2" t="s">
        <v>3300</v>
      </c>
      <c r="I1860" s="2" t="s">
        <v>3300</v>
      </c>
      <c r="J1860" s="2" t="s">
        <v>1361</v>
      </c>
      <c r="K1860" s="2" t="s">
        <v>58</v>
      </c>
      <c r="L1860" s="2" t="s">
        <v>1236</v>
      </c>
      <c r="M1860" s="2" t="s">
        <v>58</v>
      </c>
      <c r="N1860" s="2" t="s">
        <v>1785</v>
      </c>
      <c r="O1860" s="2">
        <v>4</v>
      </c>
      <c r="P1860" s="2">
        <v>27</v>
      </c>
      <c r="Q1860" s="2" t="s">
        <v>46</v>
      </c>
      <c r="R1860" s="2" t="s">
        <v>47</v>
      </c>
      <c r="S1860" s="2">
        <v>0</v>
      </c>
      <c r="T1860" s="2">
        <v>0</v>
      </c>
      <c r="U1860" s="2">
        <v>0</v>
      </c>
      <c r="V1860" s="2">
        <v>0</v>
      </c>
      <c r="W1860" s="2">
        <v>19</v>
      </c>
      <c r="X1860" s="2" t="s">
        <v>8390</v>
      </c>
      <c r="Y1860" s="2">
        <v>5</v>
      </c>
      <c r="Z1860" s="2">
        <v>14</v>
      </c>
      <c r="AA1860" s="2">
        <v>7</v>
      </c>
      <c r="AB1860" s="2">
        <v>3</v>
      </c>
      <c r="AC1860" s="2">
        <v>1</v>
      </c>
      <c r="AD1860" s="2">
        <v>1</v>
      </c>
      <c r="AE1860" s="2" t="s">
        <v>0</v>
      </c>
      <c r="AF1860" s="2">
        <v>1</v>
      </c>
      <c r="AG1860" s="2" t="s">
        <v>49</v>
      </c>
    </row>
    <row r="1861" spans="1:33" ht="25.5" x14ac:dyDescent="0.2">
      <c r="A1861" s="5" t="str">
        <f>HYPERLINK("http://www.patentics.cn/invokexml.do?sf=ShowPatent&amp;spn=CN102204328B&amp;sv=7755bf244df4858234b96739a4b9272b","CN102204328B")</f>
        <v>CN102204328B</v>
      </c>
      <c r="B1861" s="3" t="s">
        <v>8391</v>
      </c>
      <c r="C1861" s="3" t="s">
        <v>8392</v>
      </c>
      <c r="D1861" s="3" t="s">
        <v>338</v>
      </c>
      <c r="E1861" s="3" t="s">
        <v>338</v>
      </c>
      <c r="F1861" s="3" t="s">
        <v>8393</v>
      </c>
      <c r="G1861" s="3" t="s">
        <v>8394</v>
      </c>
      <c r="H1861" s="3" t="s">
        <v>8395</v>
      </c>
      <c r="I1861" s="3" t="s">
        <v>2341</v>
      </c>
      <c r="J1861" s="3" t="s">
        <v>3028</v>
      </c>
      <c r="K1861" s="3" t="s">
        <v>82</v>
      </c>
      <c r="L1861" s="3" t="s">
        <v>4178</v>
      </c>
      <c r="M1861" s="3" t="s">
        <v>0</v>
      </c>
      <c r="N1861" s="3" t="s">
        <v>0</v>
      </c>
      <c r="O1861" s="3">
        <v>20</v>
      </c>
      <c r="P1861" s="3">
        <v>15</v>
      </c>
      <c r="Q1861" s="3" t="s">
        <v>60</v>
      </c>
      <c r="R1861" s="3" t="s">
        <v>61</v>
      </c>
      <c r="S1861" s="3">
        <v>3</v>
      </c>
      <c r="T1861" s="3">
        <v>0</v>
      </c>
      <c r="U1861" s="3">
        <v>3</v>
      </c>
      <c r="V1861" s="3">
        <v>3</v>
      </c>
      <c r="W1861" s="3">
        <v>0</v>
      </c>
      <c r="X1861" s="3" t="s">
        <v>147</v>
      </c>
      <c r="Y1861" s="3">
        <v>0</v>
      </c>
      <c r="Z1861" s="3">
        <v>0</v>
      </c>
      <c r="AA1861" s="3">
        <v>0</v>
      </c>
      <c r="AB1861" s="3">
        <v>0</v>
      </c>
      <c r="AC1861" s="3">
        <v>10</v>
      </c>
      <c r="AD1861" s="3">
        <v>7</v>
      </c>
      <c r="AE1861" s="3">
        <v>14</v>
      </c>
      <c r="AF1861" s="3" t="s">
        <v>0</v>
      </c>
      <c r="AG1861" s="3" t="s">
        <v>755</v>
      </c>
    </row>
    <row r="1862" spans="1:33" x14ac:dyDescent="0.2">
      <c r="A1862" s="4" t="str">
        <f>HYPERLINK("http://www.patentics.cn/invokexml.do?sf=ShowPatent&amp;spn=CN101034951&amp;sv=b928207d689062bb6fc0bc433e8022af","CN101034951")</f>
        <v>CN101034951</v>
      </c>
      <c r="B1862" s="2" t="s">
        <v>8396</v>
      </c>
      <c r="C1862" s="2" t="s">
        <v>8397</v>
      </c>
      <c r="D1862" s="2" t="s">
        <v>38</v>
      </c>
      <c r="E1862" s="2" t="s">
        <v>38</v>
      </c>
      <c r="F1862" s="2" t="s">
        <v>8398</v>
      </c>
      <c r="G1862" s="2" t="s">
        <v>8398</v>
      </c>
      <c r="H1862" s="2" t="s">
        <v>0</v>
      </c>
      <c r="I1862" s="2" t="s">
        <v>8399</v>
      </c>
      <c r="J1862" s="2" t="s">
        <v>639</v>
      </c>
      <c r="K1862" s="2" t="s">
        <v>70</v>
      </c>
      <c r="L1862" s="2" t="s">
        <v>3121</v>
      </c>
      <c r="M1862" s="2" t="s">
        <v>95</v>
      </c>
      <c r="N1862" s="2" t="s">
        <v>8400</v>
      </c>
      <c r="O1862" s="2">
        <v>8</v>
      </c>
      <c r="P1862" s="2">
        <v>10</v>
      </c>
      <c r="Q1862" s="2" t="s">
        <v>46</v>
      </c>
      <c r="R1862" s="2" t="s">
        <v>47</v>
      </c>
      <c r="S1862" s="2">
        <v>0</v>
      </c>
      <c r="T1862" s="2">
        <v>0</v>
      </c>
      <c r="U1862" s="2">
        <v>0</v>
      </c>
      <c r="V1862" s="2">
        <v>0</v>
      </c>
      <c r="W1862" s="2">
        <v>3</v>
      </c>
      <c r="X1862" s="2" t="s">
        <v>7289</v>
      </c>
      <c r="Y1862" s="2">
        <v>2</v>
      </c>
      <c r="Z1862" s="2">
        <v>1</v>
      </c>
      <c r="AA1862" s="2">
        <v>2</v>
      </c>
      <c r="AB1862" s="2">
        <v>2</v>
      </c>
      <c r="AC1862" s="2">
        <v>0</v>
      </c>
      <c r="AD1862" s="2">
        <v>0</v>
      </c>
      <c r="AE1862" s="2" t="s">
        <v>0</v>
      </c>
      <c r="AF1862" s="2">
        <v>1</v>
      </c>
      <c r="AG1862" s="2" t="s">
        <v>547</v>
      </c>
    </row>
    <row r="1863" spans="1:33" ht="25.5" x14ac:dyDescent="0.2">
      <c r="A1863" s="5" t="str">
        <f>HYPERLINK("http://www.patentics.cn/invokexml.do?sf=ShowPatent&amp;spn=CN102577205B&amp;sv=658c99b089c80e74f66e65be384fa1b7","CN102577205B")</f>
        <v>CN102577205B</v>
      </c>
      <c r="B1863" s="3" t="s">
        <v>8401</v>
      </c>
      <c r="C1863" s="3" t="s">
        <v>8402</v>
      </c>
      <c r="D1863" s="3" t="s">
        <v>338</v>
      </c>
      <c r="E1863" s="3" t="s">
        <v>338</v>
      </c>
      <c r="F1863" s="3" t="s">
        <v>8403</v>
      </c>
      <c r="G1863" s="3" t="s">
        <v>8404</v>
      </c>
      <c r="H1863" s="3" t="s">
        <v>8405</v>
      </c>
      <c r="I1863" s="3" t="s">
        <v>8406</v>
      </c>
      <c r="J1863" s="3" t="s">
        <v>2516</v>
      </c>
      <c r="K1863" s="3" t="s">
        <v>58</v>
      </c>
      <c r="L1863" s="3" t="s">
        <v>613</v>
      </c>
      <c r="M1863" s="3" t="s">
        <v>0</v>
      </c>
      <c r="N1863" s="3" t="s">
        <v>0</v>
      </c>
      <c r="O1863" s="3">
        <v>36</v>
      </c>
      <c r="P1863" s="3">
        <v>21</v>
      </c>
      <c r="Q1863" s="3" t="s">
        <v>60</v>
      </c>
      <c r="R1863" s="3" t="s">
        <v>61</v>
      </c>
      <c r="S1863" s="3">
        <v>5</v>
      </c>
      <c r="T1863" s="3">
        <v>0</v>
      </c>
      <c r="U1863" s="3">
        <v>5</v>
      </c>
      <c r="V1863" s="3">
        <v>5</v>
      </c>
      <c r="W1863" s="3">
        <v>0</v>
      </c>
      <c r="X1863" s="3" t="s">
        <v>147</v>
      </c>
      <c r="Y1863" s="3">
        <v>0</v>
      </c>
      <c r="Z1863" s="3">
        <v>0</v>
      </c>
      <c r="AA1863" s="3">
        <v>0</v>
      </c>
      <c r="AB1863" s="3">
        <v>0</v>
      </c>
      <c r="AC1863" s="3">
        <v>0</v>
      </c>
      <c r="AD1863" s="3">
        <v>0</v>
      </c>
      <c r="AE1863" s="3">
        <v>14</v>
      </c>
      <c r="AF1863" s="3" t="s">
        <v>0</v>
      </c>
      <c r="AG1863" s="3" t="s">
        <v>49</v>
      </c>
    </row>
    <row r="1864" spans="1:33" ht="25.5" x14ac:dyDescent="0.2">
      <c r="A1864" s="4" t="str">
        <f>HYPERLINK("http://www.patentics.cn/invokexml.do?sf=ShowPatent&amp;spn=CN101035379&amp;sv=e98f2e8071a5c7250cc611fe795134e1","CN101035379")</f>
        <v>CN101035379</v>
      </c>
      <c r="B1864" s="2" t="s">
        <v>8407</v>
      </c>
      <c r="C1864" s="2" t="s">
        <v>8408</v>
      </c>
      <c r="D1864" s="2" t="s">
        <v>38</v>
      </c>
      <c r="E1864" s="2" t="s">
        <v>38</v>
      </c>
      <c r="F1864" s="2" t="s">
        <v>8409</v>
      </c>
      <c r="G1864" s="2" t="s">
        <v>8410</v>
      </c>
      <c r="H1864" s="2" t="s">
        <v>8411</v>
      </c>
      <c r="I1864" s="2" t="s">
        <v>8411</v>
      </c>
      <c r="J1864" s="2" t="s">
        <v>639</v>
      </c>
      <c r="K1864" s="2" t="s">
        <v>43</v>
      </c>
      <c r="L1864" s="2" t="s">
        <v>2591</v>
      </c>
      <c r="M1864" s="2" t="s">
        <v>43</v>
      </c>
      <c r="N1864" s="2" t="s">
        <v>5939</v>
      </c>
      <c r="O1864" s="2">
        <v>9</v>
      </c>
      <c r="P1864" s="2">
        <v>20</v>
      </c>
      <c r="Q1864" s="2" t="s">
        <v>46</v>
      </c>
      <c r="R1864" s="2" t="s">
        <v>47</v>
      </c>
      <c r="S1864" s="2">
        <v>0</v>
      </c>
      <c r="T1864" s="2">
        <v>0</v>
      </c>
      <c r="U1864" s="2">
        <v>0</v>
      </c>
      <c r="V1864" s="2">
        <v>0</v>
      </c>
      <c r="W1864" s="2">
        <v>28</v>
      </c>
      <c r="X1864" s="2" t="s">
        <v>8412</v>
      </c>
      <c r="Y1864" s="2">
        <v>2</v>
      </c>
      <c r="Z1864" s="2">
        <v>26</v>
      </c>
      <c r="AA1864" s="2">
        <v>8</v>
      </c>
      <c r="AB1864" s="2">
        <v>3</v>
      </c>
      <c r="AC1864" s="2">
        <v>1</v>
      </c>
      <c r="AD1864" s="2">
        <v>1</v>
      </c>
      <c r="AE1864" s="2" t="s">
        <v>0</v>
      </c>
      <c r="AF1864" s="2">
        <v>1</v>
      </c>
      <c r="AG1864" s="2" t="s">
        <v>49</v>
      </c>
    </row>
    <row r="1865" spans="1:33" ht="25.5" x14ac:dyDescent="0.2">
      <c r="A1865" s="5" t="str">
        <f>HYPERLINK("http://www.patentics.cn/invokexml.do?sf=ShowPatent&amp;spn=CN103444243B&amp;sv=9fc2f4abefd474018c002115c93241a2","CN103444243B")</f>
        <v>CN103444243B</v>
      </c>
      <c r="B1865" s="3" t="s">
        <v>8413</v>
      </c>
      <c r="C1865" s="3" t="s">
        <v>8414</v>
      </c>
      <c r="D1865" s="3" t="s">
        <v>338</v>
      </c>
      <c r="E1865" s="3" t="s">
        <v>338</v>
      </c>
      <c r="F1865" s="3" t="s">
        <v>8415</v>
      </c>
      <c r="G1865" s="3" t="s">
        <v>8415</v>
      </c>
      <c r="H1865" s="3" t="s">
        <v>6331</v>
      </c>
      <c r="I1865" s="3" t="s">
        <v>5931</v>
      </c>
      <c r="J1865" s="3" t="s">
        <v>2702</v>
      </c>
      <c r="K1865" s="3" t="s">
        <v>82</v>
      </c>
      <c r="L1865" s="3" t="s">
        <v>2222</v>
      </c>
      <c r="M1865" s="3" t="s">
        <v>0</v>
      </c>
      <c r="N1865" s="3" t="s">
        <v>0</v>
      </c>
      <c r="O1865" s="3">
        <v>41</v>
      </c>
      <c r="P1865" s="3">
        <v>13</v>
      </c>
      <c r="Q1865" s="3" t="s">
        <v>60</v>
      </c>
      <c r="R1865" s="3" t="s">
        <v>61</v>
      </c>
      <c r="S1865" s="3">
        <v>1</v>
      </c>
      <c r="T1865" s="3">
        <v>0</v>
      </c>
      <c r="U1865" s="3">
        <v>1</v>
      </c>
      <c r="V1865" s="3">
        <v>1</v>
      </c>
      <c r="W1865" s="3">
        <v>0</v>
      </c>
      <c r="X1865" s="3" t="s">
        <v>147</v>
      </c>
      <c r="Y1865" s="3">
        <v>0</v>
      </c>
      <c r="Z1865" s="3">
        <v>0</v>
      </c>
      <c r="AA1865" s="3">
        <v>0</v>
      </c>
      <c r="AB1865" s="3">
        <v>0</v>
      </c>
      <c r="AC1865" s="3">
        <v>0</v>
      </c>
      <c r="AD1865" s="3">
        <v>0</v>
      </c>
      <c r="AE1865" s="3">
        <v>14</v>
      </c>
      <c r="AF1865" s="3" t="s">
        <v>0</v>
      </c>
      <c r="AG1865" s="3" t="s">
        <v>49</v>
      </c>
    </row>
    <row r="1866" spans="1:33" ht="38.25" x14ac:dyDescent="0.2">
      <c r="A1866" s="4" t="str">
        <f>HYPERLINK("http://www.patentics.cn/invokexml.do?sf=ShowPatent&amp;spn=CN101013917&amp;sv=d3aa54c087e52a727ca7fcf8621e35df","CN101013917")</f>
        <v>CN101013917</v>
      </c>
      <c r="B1866" s="2" t="s">
        <v>8416</v>
      </c>
      <c r="C1866" s="2" t="s">
        <v>8417</v>
      </c>
      <c r="D1866" s="2" t="s">
        <v>38</v>
      </c>
      <c r="E1866" s="2" t="s">
        <v>38</v>
      </c>
      <c r="F1866" s="2" t="s">
        <v>8418</v>
      </c>
      <c r="G1866" s="2" t="s">
        <v>8419</v>
      </c>
      <c r="H1866" s="2" t="s">
        <v>8420</v>
      </c>
      <c r="I1866" s="2" t="s">
        <v>8420</v>
      </c>
      <c r="J1866" s="2" t="s">
        <v>8421</v>
      </c>
      <c r="K1866" s="2" t="s">
        <v>84</v>
      </c>
      <c r="L1866" s="2" t="s">
        <v>343</v>
      </c>
      <c r="M1866" s="2" t="s">
        <v>84</v>
      </c>
      <c r="N1866" s="2" t="s">
        <v>8422</v>
      </c>
      <c r="O1866" s="2">
        <v>5</v>
      </c>
      <c r="P1866" s="2">
        <v>18</v>
      </c>
      <c r="Q1866" s="2" t="s">
        <v>46</v>
      </c>
      <c r="R1866" s="2" t="s">
        <v>47</v>
      </c>
      <c r="S1866" s="2">
        <v>2</v>
      </c>
      <c r="T1866" s="2">
        <v>0</v>
      </c>
      <c r="U1866" s="2">
        <v>2</v>
      </c>
      <c r="V1866" s="2">
        <v>2</v>
      </c>
      <c r="W1866" s="2">
        <v>15</v>
      </c>
      <c r="X1866" s="2" t="s">
        <v>8423</v>
      </c>
      <c r="Y1866" s="2">
        <v>2</v>
      </c>
      <c r="Z1866" s="2">
        <v>13</v>
      </c>
      <c r="AA1866" s="2">
        <v>4</v>
      </c>
      <c r="AB1866" s="2">
        <v>3</v>
      </c>
      <c r="AC1866" s="2">
        <v>1</v>
      </c>
      <c r="AD1866" s="2">
        <v>1</v>
      </c>
      <c r="AE1866" s="2" t="s">
        <v>0</v>
      </c>
      <c r="AF1866" s="2">
        <v>1</v>
      </c>
      <c r="AG1866" s="2" t="s">
        <v>49</v>
      </c>
    </row>
    <row r="1867" spans="1:33" ht="76.5" x14ac:dyDescent="0.2">
      <c r="A1867" s="5" t="str">
        <f>HYPERLINK("http://www.patentics.cn/invokexml.do?sf=ShowPatent&amp;spn=WO2014059661&amp;sv=8e06bb07408c32355444418278779d51","WO2014059661")</f>
        <v>WO2014059661</v>
      </c>
      <c r="B1867" s="3" t="s">
        <v>8424</v>
      </c>
      <c r="C1867" s="3" t="s">
        <v>8425</v>
      </c>
      <c r="D1867" s="3" t="s">
        <v>8426</v>
      </c>
      <c r="E1867" s="3" t="s">
        <v>8427</v>
      </c>
      <c r="F1867" s="3" t="s">
        <v>8428</v>
      </c>
      <c r="G1867" s="3" t="s">
        <v>8429</v>
      </c>
      <c r="H1867" s="3" t="s">
        <v>0</v>
      </c>
      <c r="I1867" s="3" t="s">
        <v>7407</v>
      </c>
      <c r="J1867" s="3" t="s">
        <v>5094</v>
      </c>
      <c r="K1867" s="3" t="s">
        <v>84</v>
      </c>
      <c r="L1867" s="3" t="s">
        <v>506</v>
      </c>
      <c r="M1867" s="3" t="s">
        <v>0</v>
      </c>
      <c r="N1867" s="3" t="s">
        <v>0</v>
      </c>
      <c r="O1867" s="3">
        <v>20</v>
      </c>
      <c r="P1867" s="3">
        <v>6</v>
      </c>
      <c r="Q1867" s="3" t="s">
        <v>352</v>
      </c>
      <c r="R1867" s="3" t="s">
        <v>1387</v>
      </c>
      <c r="S1867" s="3">
        <v>3</v>
      </c>
      <c r="T1867" s="3">
        <v>0</v>
      </c>
      <c r="U1867" s="3">
        <v>3</v>
      </c>
      <c r="V1867" s="3">
        <v>3</v>
      </c>
      <c r="W1867" s="3">
        <v>0</v>
      </c>
      <c r="X1867" s="3" t="s">
        <v>147</v>
      </c>
      <c r="Y1867" s="3">
        <v>0</v>
      </c>
      <c r="Z1867" s="3">
        <v>0</v>
      </c>
      <c r="AA1867" s="3">
        <v>0</v>
      </c>
      <c r="AB1867" s="3">
        <v>0</v>
      </c>
      <c r="AC1867" s="3">
        <v>0</v>
      </c>
      <c r="AD1867" s="3">
        <v>0</v>
      </c>
      <c r="AE1867" s="3">
        <v>14</v>
      </c>
      <c r="AF1867" s="3" t="s">
        <v>0</v>
      </c>
      <c r="AG1867" s="3" t="s">
        <v>0</v>
      </c>
    </row>
    <row r="1868" spans="1:33" ht="25.5" x14ac:dyDescent="0.2">
      <c r="A1868" s="4" t="str">
        <f>HYPERLINK("http://www.patentics.cn/invokexml.do?sf=ShowPatent&amp;spn=CN101013919&amp;sv=9f394283c0916f8225379b1450abaf4e","CN101013919")</f>
        <v>CN101013919</v>
      </c>
      <c r="B1868" s="2" t="s">
        <v>8430</v>
      </c>
      <c r="C1868" s="2" t="s">
        <v>8431</v>
      </c>
      <c r="D1868" s="2" t="s">
        <v>38</v>
      </c>
      <c r="E1868" s="2" t="s">
        <v>38</v>
      </c>
      <c r="F1868" s="2" t="s">
        <v>8432</v>
      </c>
      <c r="G1868" s="2" t="s">
        <v>8433</v>
      </c>
      <c r="H1868" s="2" t="s">
        <v>8434</v>
      </c>
      <c r="I1868" s="2" t="s">
        <v>8434</v>
      </c>
      <c r="J1868" s="2" t="s">
        <v>8421</v>
      </c>
      <c r="K1868" s="2" t="s">
        <v>84</v>
      </c>
      <c r="L1868" s="2" t="s">
        <v>8282</v>
      </c>
      <c r="M1868" s="2" t="s">
        <v>70</v>
      </c>
      <c r="N1868" s="2" t="s">
        <v>8283</v>
      </c>
      <c r="O1868" s="2">
        <v>13</v>
      </c>
      <c r="P1868" s="2">
        <v>16</v>
      </c>
      <c r="Q1868" s="2" t="s">
        <v>46</v>
      </c>
      <c r="R1868" s="2" t="s">
        <v>47</v>
      </c>
      <c r="S1868" s="2">
        <v>0</v>
      </c>
      <c r="T1868" s="2">
        <v>0</v>
      </c>
      <c r="U1868" s="2">
        <v>0</v>
      </c>
      <c r="V1868" s="2">
        <v>0</v>
      </c>
      <c r="W1868" s="2">
        <v>12</v>
      </c>
      <c r="X1868" s="2" t="s">
        <v>8435</v>
      </c>
      <c r="Y1868" s="2">
        <v>3</v>
      </c>
      <c r="Z1868" s="2">
        <v>9</v>
      </c>
      <c r="AA1868" s="2">
        <v>5</v>
      </c>
      <c r="AB1868" s="2">
        <v>3</v>
      </c>
      <c r="AC1868" s="2">
        <v>1</v>
      </c>
      <c r="AD1868" s="2">
        <v>1</v>
      </c>
      <c r="AE1868" s="2" t="s">
        <v>0</v>
      </c>
      <c r="AF1868" s="2">
        <v>1</v>
      </c>
      <c r="AG1868" s="2" t="s">
        <v>49</v>
      </c>
    </row>
    <row r="1869" spans="1:33" ht="38.25" x14ac:dyDescent="0.2">
      <c r="A1869" s="5" t="str">
        <f>HYPERLINK("http://www.patentics.cn/invokexml.do?sf=ShowPatent&amp;spn=CN101814950B&amp;sv=40455a2aaee55e04ee1771cfc323341f","CN101814950B")</f>
        <v>CN101814950B</v>
      </c>
      <c r="B1869" s="3" t="s">
        <v>8285</v>
      </c>
      <c r="C1869" s="3" t="s">
        <v>8286</v>
      </c>
      <c r="D1869" s="3" t="s">
        <v>8287</v>
      </c>
      <c r="E1869" s="3" t="s">
        <v>338</v>
      </c>
      <c r="F1869" s="3" t="s">
        <v>8288</v>
      </c>
      <c r="G1869" s="3" t="s">
        <v>8289</v>
      </c>
      <c r="H1869" s="3" t="s">
        <v>8290</v>
      </c>
      <c r="I1869" s="3" t="s">
        <v>8290</v>
      </c>
      <c r="J1869" s="3" t="s">
        <v>8291</v>
      </c>
      <c r="K1869" s="3" t="s">
        <v>84</v>
      </c>
      <c r="L1869" s="3" t="s">
        <v>8292</v>
      </c>
      <c r="M1869" s="3" t="s">
        <v>0</v>
      </c>
      <c r="N1869" s="3" t="s">
        <v>0</v>
      </c>
      <c r="O1869" s="3">
        <v>2</v>
      </c>
      <c r="P1869" s="3">
        <v>43</v>
      </c>
      <c r="Q1869" s="3" t="s">
        <v>60</v>
      </c>
      <c r="R1869" s="3" t="s">
        <v>47</v>
      </c>
      <c r="S1869" s="3">
        <v>5</v>
      </c>
      <c r="T1869" s="3">
        <v>0</v>
      </c>
      <c r="U1869" s="3">
        <v>5</v>
      </c>
      <c r="V1869" s="3">
        <v>4</v>
      </c>
      <c r="W1869" s="3">
        <v>0</v>
      </c>
      <c r="X1869" s="3" t="s">
        <v>147</v>
      </c>
      <c r="Y1869" s="3">
        <v>0</v>
      </c>
      <c r="Z1869" s="3">
        <v>0</v>
      </c>
      <c r="AA1869" s="3">
        <v>0</v>
      </c>
      <c r="AB1869" s="3">
        <v>0</v>
      </c>
      <c r="AC1869" s="3">
        <v>1</v>
      </c>
      <c r="AD1869" s="3">
        <v>1</v>
      </c>
      <c r="AE1869" s="3">
        <v>14</v>
      </c>
      <c r="AF1869" s="3" t="s">
        <v>0</v>
      </c>
      <c r="AG1869" s="3" t="s">
        <v>755</v>
      </c>
    </row>
    <row r="1870" spans="1:33" ht="25.5" x14ac:dyDescent="0.2">
      <c r="A1870" s="4" t="str">
        <f>HYPERLINK("http://www.patentics.cn/invokexml.do?sf=ShowPatent&amp;spn=CN1980183&amp;sv=7911966cb904b6eb358974675fd96049","CN1980183")</f>
        <v>CN1980183</v>
      </c>
      <c r="B1870" s="2" t="s">
        <v>8436</v>
      </c>
      <c r="C1870" s="2" t="s">
        <v>8437</v>
      </c>
      <c r="D1870" s="2" t="s">
        <v>38</v>
      </c>
      <c r="E1870" s="2" t="s">
        <v>38</v>
      </c>
      <c r="F1870" s="2" t="s">
        <v>8438</v>
      </c>
      <c r="G1870" s="2" t="s">
        <v>8438</v>
      </c>
      <c r="H1870" s="2" t="s">
        <v>4011</v>
      </c>
      <c r="I1870" s="2" t="s">
        <v>4011</v>
      </c>
      <c r="J1870" s="2" t="s">
        <v>2145</v>
      </c>
      <c r="K1870" s="2" t="s">
        <v>58</v>
      </c>
      <c r="L1870" s="2" t="s">
        <v>1236</v>
      </c>
      <c r="M1870" s="2" t="s">
        <v>58</v>
      </c>
      <c r="N1870" s="2" t="s">
        <v>8439</v>
      </c>
      <c r="O1870" s="2">
        <v>7</v>
      </c>
      <c r="P1870" s="2">
        <v>17</v>
      </c>
      <c r="Q1870" s="2" t="s">
        <v>46</v>
      </c>
      <c r="R1870" s="2" t="s">
        <v>47</v>
      </c>
      <c r="S1870" s="2">
        <v>0</v>
      </c>
      <c r="T1870" s="2">
        <v>0</v>
      </c>
      <c r="U1870" s="2">
        <v>0</v>
      </c>
      <c r="V1870" s="2">
        <v>0</v>
      </c>
      <c r="W1870" s="2">
        <v>1</v>
      </c>
      <c r="X1870" s="2" t="s">
        <v>189</v>
      </c>
      <c r="Y1870" s="2">
        <v>0</v>
      </c>
      <c r="Z1870" s="2">
        <v>1</v>
      </c>
      <c r="AA1870" s="2">
        <v>1</v>
      </c>
      <c r="AB1870" s="2">
        <v>1</v>
      </c>
      <c r="AC1870" s="2">
        <v>1</v>
      </c>
      <c r="AD1870" s="2">
        <v>1</v>
      </c>
      <c r="AE1870" s="2" t="s">
        <v>0</v>
      </c>
      <c r="AF1870" s="2">
        <v>1</v>
      </c>
      <c r="AG1870" s="2" t="s">
        <v>755</v>
      </c>
    </row>
    <row r="1871" spans="1:33" ht="25.5" x14ac:dyDescent="0.2">
      <c r="A1871" s="5" t="str">
        <f>HYPERLINK("http://www.patentics.cn/invokexml.do?sf=ShowPatent&amp;spn=CN102347882B&amp;sv=254e1065eb4f18a2ae715ece817d051e","CN102347882B")</f>
        <v>CN102347882B</v>
      </c>
      <c r="B1871" s="3" t="s">
        <v>8440</v>
      </c>
      <c r="C1871" s="3" t="s">
        <v>8441</v>
      </c>
      <c r="D1871" s="3" t="s">
        <v>8287</v>
      </c>
      <c r="E1871" s="3" t="s">
        <v>338</v>
      </c>
      <c r="F1871" s="3" t="s">
        <v>8442</v>
      </c>
      <c r="G1871" s="3" t="s">
        <v>8443</v>
      </c>
      <c r="H1871" s="3" t="s">
        <v>1460</v>
      </c>
      <c r="I1871" s="3" t="s">
        <v>1460</v>
      </c>
      <c r="J1871" s="3" t="s">
        <v>3897</v>
      </c>
      <c r="K1871" s="3" t="s">
        <v>58</v>
      </c>
      <c r="L1871" s="3" t="s">
        <v>4867</v>
      </c>
      <c r="M1871" s="3" t="s">
        <v>0</v>
      </c>
      <c r="N1871" s="3" t="s">
        <v>0</v>
      </c>
      <c r="O1871" s="3">
        <v>10</v>
      </c>
      <c r="P1871" s="3">
        <v>37</v>
      </c>
      <c r="Q1871" s="3" t="s">
        <v>60</v>
      </c>
      <c r="R1871" s="3" t="s">
        <v>47</v>
      </c>
      <c r="S1871" s="3">
        <v>5</v>
      </c>
      <c r="T1871" s="3">
        <v>0</v>
      </c>
      <c r="U1871" s="3">
        <v>5</v>
      </c>
      <c r="V1871" s="3">
        <v>5</v>
      </c>
      <c r="W1871" s="3">
        <v>0</v>
      </c>
      <c r="X1871" s="3" t="s">
        <v>147</v>
      </c>
      <c r="Y1871" s="3">
        <v>0</v>
      </c>
      <c r="Z1871" s="3">
        <v>0</v>
      </c>
      <c r="AA1871" s="3">
        <v>0</v>
      </c>
      <c r="AB1871" s="3">
        <v>0</v>
      </c>
      <c r="AC1871" s="3">
        <v>1</v>
      </c>
      <c r="AD1871" s="3">
        <v>1</v>
      </c>
      <c r="AE1871" s="3">
        <v>14</v>
      </c>
      <c r="AF1871" s="3" t="s">
        <v>0</v>
      </c>
      <c r="AG1871" s="3" t="s">
        <v>755</v>
      </c>
    </row>
    <row r="1872" spans="1:33" ht="51" x14ac:dyDescent="0.2">
      <c r="A1872" s="4" t="str">
        <f>HYPERLINK("http://www.patentics.cn/invokexml.do?sf=ShowPatent&amp;spn=CN1976294&amp;sv=21e3618d8137076f91b7d39ea9b70e37","CN1976294")</f>
        <v>CN1976294</v>
      </c>
      <c r="B1872" s="2" t="s">
        <v>8444</v>
      </c>
      <c r="C1872" s="2" t="s">
        <v>8445</v>
      </c>
      <c r="D1872" s="2" t="s">
        <v>38</v>
      </c>
      <c r="E1872" s="2" t="s">
        <v>38</v>
      </c>
      <c r="F1872" s="2" t="s">
        <v>8446</v>
      </c>
      <c r="G1872" s="2" t="s">
        <v>8447</v>
      </c>
      <c r="H1872" s="2" t="s">
        <v>8448</v>
      </c>
      <c r="I1872" s="2" t="s">
        <v>8448</v>
      </c>
      <c r="J1872" s="2" t="s">
        <v>7979</v>
      </c>
      <c r="K1872" s="2" t="s">
        <v>58</v>
      </c>
      <c r="L1872" s="2" t="s">
        <v>4508</v>
      </c>
      <c r="M1872" s="2" t="s">
        <v>544</v>
      </c>
      <c r="N1872" s="2" t="s">
        <v>5513</v>
      </c>
      <c r="O1872" s="2">
        <v>10</v>
      </c>
      <c r="P1872" s="2">
        <v>14</v>
      </c>
      <c r="Q1872" s="2" t="s">
        <v>46</v>
      </c>
      <c r="R1872" s="2" t="s">
        <v>47</v>
      </c>
      <c r="S1872" s="2">
        <v>0</v>
      </c>
      <c r="T1872" s="2">
        <v>0</v>
      </c>
      <c r="U1872" s="2">
        <v>0</v>
      </c>
      <c r="V1872" s="2">
        <v>0</v>
      </c>
      <c r="W1872" s="2">
        <v>5</v>
      </c>
      <c r="X1872" s="2" t="s">
        <v>8449</v>
      </c>
      <c r="Y1872" s="2">
        <v>2</v>
      </c>
      <c r="Z1872" s="2">
        <v>3</v>
      </c>
      <c r="AA1872" s="2">
        <v>4</v>
      </c>
      <c r="AB1872" s="2">
        <v>2</v>
      </c>
      <c r="AC1872" s="2">
        <v>1</v>
      </c>
      <c r="AD1872" s="2">
        <v>1</v>
      </c>
      <c r="AE1872" s="2" t="s">
        <v>0</v>
      </c>
      <c r="AF1872" s="2">
        <v>1</v>
      </c>
      <c r="AG1872" s="2" t="s">
        <v>49</v>
      </c>
    </row>
    <row r="1873" spans="1:33" ht="38.25" x14ac:dyDescent="0.2">
      <c r="A1873" s="5" t="str">
        <f>HYPERLINK("http://www.patentics.cn/invokexml.do?sf=ShowPatent&amp;spn=CN101690064B&amp;sv=673c058a38da33de4516b968e303e496","CN101690064B")</f>
        <v>CN101690064B</v>
      </c>
      <c r="B1873" s="3" t="s">
        <v>8450</v>
      </c>
      <c r="C1873" s="3" t="s">
        <v>8451</v>
      </c>
      <c r="D1873" s="3" t="s">
        <v>338</v>
      </c>
      <c r="E1873" s="3" t="s">
        <v>338</v>
      </c>
      <c r="F1873" s="3" t="s">
        <v>8452</v>
      </c>
      <c r="G1873" s="3" t="s">
        <v>2480</v>
      </c>
      <c r="H1873" s="3" t="s">
        <v>455</v>
      </c>
      <c r="I1873" s="3" t="s">
        <v>3443</v>
      </c>
      <c r="J1873" s="3" t="s">
        <v>8453</v>
      </c>
      <c r="K1873" s="3" t="s">
        <v>58</v>
      </c>
      <c r="L1873" s="3" t="s">
        <v>326</v>
      </c>
      <c r="M1873" s="3" t="s">
        <v>0</v>
      </c>
      <c r="N1873" s="3" t="s">
        <v>0</v>
      </c>
      <c r="O1873" s="3">
        <v>38</v>
      </c>
      <c r="P1873" s="3">
        <v>24</v>
      </c>
      <c r="Q1873" s="3" t="s">
        <v>60</v>
      </c>
      <c r="R1873" s="3" t="s">
        <v>61</v>
      </c>
      <c r="S1873" s="3">
        <v>1</v>
      </c>
      <c r="T1873" s="3">
        <v>0</v>
      </c>
      <c r="U1873" s="3">
        <v>1</v>
      </c>
      <c r="V1873" s="3">
        <v>1</v>
      </c>
      <c r="W1873" s="3">
        <v>0</v>
      </c>
      <c r="X1873" s="3" t="s">
        <v>147</v>
      </c>
      <c r="Y1873" s="3">
        <v>0</v>
      </c>
      <c r="Z1873" s="3">
        <v>0</v>
      </c>
      <c r="AA1873" s="3">
        <v>0</v>
      </c>
      <c r="AB1873" s="3">
        <v>0</v>
      </c>
      <c r="AC1873" s="3">
        <v>33</v>
      </c>
      <c r="AD1873" s="3">
        <v>16</v>
      </c>
      <c r="AE1873" s="3">
        <v>14</v>
      </c>
      <c r="AF1873" s="3" t="s">
        <v>0</v>
      </c>
      <c r="AG1873" s="3" t="s">
        <v>49</v>
      </c>
    </row>
    <row r="1874" spans="1:33" ht="25.5" x14ac:dyDescent="0.2">
      <c r="A1874" s="4" t="str">
        <f>HYPERLINK("http://www.patentics.cn/invokexml.do?sf=ShowPatent&amp;spn=CN1960270&amp;sv=2ac0e65cdd94da9ea9cd9bb2b53d4494","CN1960270")</f>
        <v>CN1960270</v>
      </c>
      <c r="B1874" s="2" t="s">
        <v>8454</v>
      </c>
      <c r="C1874" s="2" t="s">
        <v>8455</v>
      </c>
      <c r="D1874" s="2" t="s">
        <v>38</v>
      </c>
      <c r="E1874" s="2" t="s">
        <v>38</v>
      </c>
      <c r="F1874" s="2" t="s">
        <v>8456</v>
      </c>
      <c r="G1874" s="2" t="s">
        <v>8457</v>
      </c>
      <c r="H1874" s="2" t="s">
        <v>6004</v>
      </c>
      <c r="I1874" s="2" t="s">
        <v>6004</v>
      </c>
      <c r="J1874" s="2" t="s">
        <v>4032</v>
      </c>
      <c r="K1874" s="2" t="s">
        <v>58</v>
      </c>
      <c r="L1874" s="2" t="s">
        <v>4508</v>
      </c>
      <c r="M1874" s="2" t="s">
        <v>544</v>
      </c>
      <c r="N1874" s="2" t="s">
        <v>8458</v>
      </c>
      <c r="O1874" s="2">
        <v>10</v>
      </c>
      <c r="P1874" s="2">
        <v>15</v>
      </c>
      <c r="Q1874" s="2" t="s">
        <v>46</v>
      </c>
      <c r="R1874" s="2" t="s">
        <v>47</v>
      </c>
      <c r="S1874" s="2">
        <v>0</v>
      </c>
      <c r="T1874" s="2">
        <v>0</v>
      </c>
      <c r="U1874" s="2">
        <v>0</v>
      </c>
      <c r="V1874" s="2">
        <v>0</v>
      </c>
      <c r="W1874" s="2">
        <v>1</v>
      </c>
      <c r="X1874" s="2" t="s">
        <v>74</v>
      </c>
      <c r="Y1874" s="2">
        <v>0</v>
      </c>
      <c r="Z1874" s="2">
        <v>1</v>
      </c>
      <c r="AA1874" s="2">
        <v>1</v>
      </c>
      <c r="AB1874" s="2">
        <v>1</v>
      </c>
      <c r="AC1874" s="2">
        <v>2</v>
      </c>
      <c r="AD1874" s="2">
        <v>2</v>
      </c>
      <c r="AE1874" s="2" t="s">
        <v>0</v>
      </c>
      <c r="AF1874" s="2">
        <v>1</v>
      </c>
      <c r="AG1874" s="2" t="s">
        <v>49</v>
      </c>
    </row>
    <row r="1875" spans="1:33" ht="127.5" x14ac:dyDescent="0.2">
      <c r="A1875" s="5" t="str">
        <f>HYPERLINK("http://www.patentics.cn/invokexml.do?sf=ShowPatent&amp;spn=US9319737&amp;sv=f375b383156cb140cbb05247b52e07b8","US9319737")</f>
        <v>US9319737</v>
      </c>
      <c r="B1875" s="3" t="s">
        <v>8459</v>
      </c>
      <c r="C1875" s="3" t="s">
        <v>8460</v>
      </c>
      <c r="D1875" s="3" t="s">
        <v>52</v>
      </c>
      <c r="E1875" s="3" t="s">
        <v>52</v>
      </c>
      <c r="F1875" s="3" t="s">
        <v>8461</v>
      </c>
      <c r="G1875" s="3" t="s">
        <v>1670</v>
      </c>
      <c r="H1875" s="3" t="s">
        <v>2534</v>
      </c>
      <c r="I1875" s="3" t="s">
        <v>8208</v>
      </c>
      <c r="J1875" s="3" t="s">
        <v>699</v>
      </c>
      <c r="K1875" s="3" t="s">
        <v>544</v>
      </c>
      <c r="L1875" s="3" t="s">
        <v>8462</v>
      </c>
      <c r="M1875" s="3" t="s">
        <v>544</v>
      </c>
      <c r="N1875" s="3" t="s">
        <v>8463</v>
      </c>
      <c r="O1875" s="3">
        <v>0</v>
      </c>
      <c r="P1875" s="3">
        <v>18</v>
      </c>
      <c r="Q1875" s="3" t="s">
        <v>60</v>
      </c>
      <c r="R1875" s="3" t="s">
        <v>61</v>
      </c>
      <c r="S1875" s="3">
        <v>34</v>
      </c>
      <c r="T1875" s="3">
        <v>4</v>
      </c>
      <c r="U1875" s="3">
        <v>30</v>
      </c>
      <c r="V1875" s="3">
        <v>18</v>
      </c>
      <c r="W1875" s="3">
        <v>0</v>
      </c>
      <c r="X1875" s="3" t="s">
        <v>147</v>
      </c>
      <c r="Y1875" s="3">
        <v>0</v>
      </c>
      <c r="Z1875" s="3">
        <v>0</v>
      </c>
      <c r="AA1875" s="3">
        <v>0</v>
      </c>
      <c r="AB1875" s="3">
        <v>0</v>
      </c>
      <c r="AC1875" s="3">
        <v>20</v>
      </c>
      <c r="AD1875" s="3">
        <v>7</v>
      </c>
      <c r="AE1875" s="3">
        <v>14</v>
      </c>
      <c r="AF1875" s="3" t="s">
        <v>0</v>
      </c>
      <c r="AG1875" s="3" t="s">
        <v>49</v>
      </c>
    </row>
    <row r="1876" spans="1:33" ht="25.5" x14ac:dyDescent="0.2">
      <c r="A1876" s="4" t="str">
        <f>HYPERLINK("http://www.patentics.cn/invokexml.do?sf=ShowPatent&amp;spn=CN1960350&amp;sv=f0d04c909fbd10afbeee91ab8979b4bd","CN1960350")</f>
        <v>CN1960350</v>
      </c>
      <c r="B1876" s="2" t="s">
        <v>8464</v>
      </c>
      <c r="C1876" s="2" t="s">
        <v>8465</v>
      </c>
      <c r="D1876" s="2" t="s">
        <v>38</v>
      </c>
      <c r="E1876" s="2" t="s">
        <v>38</v>
      </c>
      <c r="F1876" s="2" t="s">
        <v>7678</v>
      </c>
      <c r="G1876" s="2" t="s">
        <v>7678</v>
      </c>
      <c r="H1876" s="2" t="s">
        <v>6538</v>
      </c>
      <c r="I1876" s="2" t="s">
        <v>6538</v>
      </c>
      <c r="J1876" s="2" t="s">
        <v>4032</v>
      </c>
      <c r="K1876" s="2" t="s">
        <v>58</v>
      </c>
      <c r="L1876" s="2" t="s">
        <v>326</v>
      </c>
      <c r="M1876" s="2" t="s">
        <v>84</v>
      </c>
      <c r="N1876" s="2" t="s">
        <v>2183</v>
      </c>
      <c r="O1876" s="2">
        <v>6</v>
      </c>
      <c r="P1876" s="2">
        <v>14</v>
      </c>
      <c r="Q1876" s="2" t="s">
        <v>46</v>
      </c>
      <c r="R1876" s="2" t="s">
        <v>47</v>
      </c>
      <c r="S1876" s="2">
        <v>0</v>
      </c>
      <c r="T1876" s="2">
        <v>0</v>
      </c>
      <c r="U1876" s="2">
        <v>0</v>
      </c>
      <c r="V1876" s="2">
        <v>0</v>
      </c>
      <c r="W1876" s="2">
        <v>4</v>
      </c>
      <c r="X1876" s="2" t="s">
        <v>4252</v>
      </c>
      <c r="Y1876" s="2">
        <v>1</v>
      </c>
      <c r="Z1876" s="2">
        <v>3</v>
      </c>
      <c r="AA1876" s="2">
        <v>4</v>
      </c>
      <c r="AB1876" s="2">
        <v>3</v>
      </c>
      <c r="AC1876" s="2">
        <v>1</v>
      </c>
      <c r="AD1876" s="2">
        <v>1</v>
      </c>
      <c r="AE1876" s="2" t="s">
        <v>0</v>
      </c>
      <c r="AF1876" s="2">
        <v>1</v>
      </c>
      <c r="AG1876" s="2" t="s">
        <v>49</v>
      </c>
    </row>
    <row r="1877" spans="1:33" ht="38.25" x14ac:dyDescent="0.2">
      <c r="A1877" s="5" t="str">
        <f>HYPERLINK("http://www.patentics.cn/invokexml.do?sf=ShowPatent&amp;spn=US8761303&amp;sv=df8d7836b0e7e6f9e4c7ae7d551185fa","US8761303")</f>
        <v>US8761303</v>
      </c>
      <c r="B1877" s="3" t="s">
        <v>8466</v>
      </c>
      <c r="C1877" s="3" t="s">
        <v>8467</v>
      </c>
      <c r="D1877" s="3" t="s">
        <v>52</v>
      </c>
      <c r="E1877" s="3" t="s">
        <v>52</v>
      </c>
      <c r="F1877" s="3" t="s">
        <v>8468</v>
      </c>
      <c r="G1877" s="3" t="s">
        <v>8469</v>
      </c>
      <c r="H1877" s="3" t="s">
        <v>484</v>
      </c>
      <c r="I1877" s="3" t="s">
        <v>8470</v>
      </c>
      <c r="J1877" s="3" t="s">
        <v>1031</v>
      </c>
      <c r="K1877" s="3" t="s">
        <v>333</v>
      </c>
      <c r="L1877" s="3" t="s">
        <v>633</v>
      </c>
      <c r="M1877" s="3" t="s">
        <v>58</v>
      </c>
      <c r="N1877" s="3" t="s">
        <v>2466</v>
      </c>
      <c r="O1877" s="3">
        <v>0</v>
      </c>
      <c r="P1877" s="3">
        <v>11</v>
      </c>
      <c r="Q1877" s="3" t="s">
        <v>60</v>
      </c>
      <c r="R1877" s="3" t="s">
        <v>61</v>
      </c>
      <c r="S1877" s="3">
        <v>18</v>
      </c>
      <c r="T1877" s="3">
        <v>2</v>
      </c>
      <c r="U1877" s="3">
        <v>16</v>
      </c>
      <c r="V1877" s="3">
        <v>9</v>
      </c>
      <c r="W1877" s="3">
        <v>0</v>
      </c>
      <c r="X1877" s="3" t="s">
        <v>147</v>
      </c>
      <c r="Y1877" s="3">
        <v>0</v>
      </c>
      <c r="Z1877" s="3">
        <v>0</v>
      </c>
      <c r="AA1877" s="3">
        <v>0</v>
      </c>
      <c r="AB1877" s="3">
        <v>0</v>
      </c>
      <c r="AC1877" s="3">
        <v>12</v>
      </c>
      <c r="AD1877" s="3">
        <v>7</v>
      </c>
      <c r="AE1877" s="3">
        <v>14</v>
      </c>
      <c r="AF1877" s="3" t="s">
        <v>0</v>
      </c>
      <c r="AG1877" s="3" t="s">
        <v>49</v>
      </c>
    </row>
    <row r="1878" spans="1:33" ht="25.5" x14ac:dyDescent="0.2">
      <c r="A1878" s="4" t="str">
        <f>HYPERLINK("http://www.patentics.cn/invokexml.do?sf=ShowPatent&amp;spn=CN1909717&amp;sv=db9c47a9615224ff8ef9cd3d21792013","CN1909717")</f>
        <v>CN1909717</v>
      </c>
      <c r="B1878" s="2" t="s">
        <v>8471</v>
      </c>
      <c r="C1878" s="2" t="s">
        <v>8472</v>
      </c>
      <c r="D1878" s="2" t="s">
        <v>38</v>
      </c>
      <c r="E1878" s="2" t="s">
        <v>38</v>
      </c>
      <c r="F1878" s="2" t="s">
        <v>8473</v>
      </c>
      <c r="G1878" s="2" t="s">
        <v>8473</v>
      </c>
      <c r="H1878" s="2" t="s">
        <v>4075</v>
      </c>
      <c r="I1878" s="2" t="s">
        <v>4075</v>
      </c>
      <c r="J1878" s="2" t="s">
        <v>4076</v>
      </c>
      <c r="K1878" s="2" t="s">
        <v>43</v>
      </c>
      <c r="L1878" s="2" t="s">
        <v>2591</v>
      </c>
      <c r="M1878" s="2" t="s">
        <v>43</v>
      </c>
      <c r="N1878" s="2" t="s">
        <v>45</v>
      </c>
      <c r="O1878" s="2">
        <v>7</v>
      </c>
      <c r="P1878" s="2">
        <v>15</v>
      </c>
      <c r="Q1878" s="2" t="s">
        <v>46</v>
      </c>
      <c r="R1878" s="2" t="s">
        <v>47</v>
      </c>
      <c r="S1878" s="2">
        <v>1</v>
      </c>
      <c r="T1878" s="2">
        <v>0</v>
      </c>
      <c r="U1878" s="2">
        <v>1</v>
      </c>
      <c r="V1878" s="2">
        <v>1</v>
      </c>
      <c r="W1878" s="2">
        <v>5</v>
      </c>
      <c r="X1878" s="2" t="s">
        <v>4732</v>
      </c>
      <c r="Y1878" s="2">
        <v>0</v>
      </c>
      <c r="Z1878" s="2">
        <v>5</v>
      </c>
      <c r="AA1878" s="2">
        <v>4</v>
      </c>
      <c r="AB1878" s="2">
        <v>3</v>
      </c>
      <c r="AC1878" s="2">
        <v>1</v>
      </c>
      <c r="AD1878" s="2">
        <v>1</v>
      </c>
      <c r="AE1878" s="2" t="s">
        <v>0</v>
      </c>
      <c r="AF1878" s="2">
        <v>1</v>
      </c>
      <c r="AG1878" s="2" t="s">
        <v>755</v>
      </c>
    </row>
    <row r="1879" spans="1:33" ht="140.25" x14ac:dyDescent="0.2">
      <c r="A1879" s="5" t="str">
        <f>HYPERLINK("http://www.patentics.cn/invokexml.do?sf=ShowPatent&amp;spn=US8917206&amp;sv=3e77b72ba68a54f44c46e0223d579b52","US8917206")</f>
        <v>US8917206</v>
      </c>
      <c r="B1879" s="3" t="s">
        <v>8474</v>
      </c>
      <c r="C1879" s="3" t="s">
        <v>8475</v>
      </c>
      <c r="D1879" s="3" t="s">
        <v>52</v>
      </c>
      <c r="E1879" s="3" t="s">
        <v>52</v>
      </c>
      <c r="F1879" s="3" t="s">
        <v>8476</v>
      </c>
      <c r="G1879" s="3" t="s">
        <v>803</v>
      </c>
      <c r="H1879" s="3" t="s">
        <v>3050</v>
      </c>
      <c r="I1879" s="3" t="s">
        <v>371</v>
      </c>
      <c r="J1879" s="3" t="s">
        <v>203</v>
      </c>
      <c r="K1879" s="3" t="s">
        <v>1935</v>
      </c>
      <c r="L1879" s="3" t="s">
        <v>8477</v>
      </c>
      <c r="M1879" s="3" t="s">
        <v>1935</v>
      </c>
      <c r="N1879" s="3" t="s">
        <v>8478</v>
      </c>
      <c r="O1879" s="3">
        <v>0</v>
      </c>
      <c r="P1879" s="3">
        <v>11</v>
      </c>
      <c r="Q1879" s="3" t="s">
        <v>60</v>
      </c>
      <c r="R1879" s="3" t="s">
        <v>61</v>
      </c>
      <c r="S1879" s="3">
        <v>15</v>
      </c>
      <c r="T1879" s="3">
        <v>3</v>
      </c>
      <c r="U1879" s="3">
        <v>12</v>
      </c>
      <c r="V1879" s="3">
        <v>10</v>
      </c>
      <c r="W1879" s="3">
        <v>0</v>
      </c>
      <c r="X1879" s="3" t="s">
        <v>147</v>
      </c>
      <c r="Y1879" s="3">
        <v>0</v>
      </c>
      <c r="Z1879" s="3">
        <v>0</v>
      </c>
      <c r="AA1879" s="3">
        <v>0</v>
      </c>
      <c r="AB1879" s="3">
        <v>0</v>
      </c>
      <c r="AC1879" s="3">
        <v>8</v>
      </c>
      <c r="AD1879" s="3">
        <v>7</v>
      </c>
      <c r="AE1879" s="3">
        <v>14</v>
      </c>
      <c r="AF1879" s="3" t="s">
        <v>0</v>
      </c>
      <c r="AG1879" s="3" t="s">
        <v>49</v>
      </c>
    </row>
    <row r="1880" spans="1:33" ht="38.25" x14ac:dyDescent="0.2">
      <c r="A1880" s="4" t="str">
        <f>HYPERLINK("http://www.patentics.cn/invokexml.do?sf=ShowPatent&amp;spn=CN1881858&amp;sv=12ac98bb243997303e7e726f404c3aa7","CN1881858")</f>
        <v>CN1881858</v>
      </c>
      <c r="B1880" s="2" t="s">
        <v>8479</v>
      </c>
      <c r="C1880" s="2" t="s">
        <v>8480</v>
      </c>
      <c r="D1880" s="2" t="s">
        <v>38</v>
      </c>
      <c r="E1880" s="2" t="s">
        <v>38</v>
      </c>
      <c r="F1880" s="2" t="s">
        <v>8481</v>
      </c>
      <c r="G1880" s="2" t="s">
        <v>8482</v>
      </c>
      <c r="H1880" s="2" t="s">
        <v>132</v>
      </c>
      <c r="I1880" s="2" t="s">
        <v>132</v>
      </c>
      <c r="J1880" s="2" t="s">
        <v>8483</v>
      </c>
      <c r="K1880" s="2" t="s">
        <v>70</v>
      </c>
      <c r="L1880" s="2" t="s">
        <v>5999</v>
      </c>
      <c r="M1880" s="2" t="s">
        <v>84</v>
      </c>
      <c r="N1880" s="2" t="s">
        <v>2183</v>
      </c>
      <c r="O1880" s="2">
        <v>6</v>
      </c>
      <c r="P1880" s="2">
        <v>29</v>
      </c>
      <c r="Q1880" s="2" t="s">
        <v>46</v>
      </c>
      <c r="R1880" s="2" t="s">
        <v>47</v>
      </c>
      <c r="S1880" s="2">
        <v>0</v>
      </c>
      <c r="T1880" s="2">
        <v>0</v>
      </c>
      <c r="U1880" s="2">
        <v>0</v>
      </c>
      <c r="V1880" s="2">
        <v>0</v>
      </c>
      <c r="W1880" s="2">
        <v>4</v>
      </c>
      <c r="X1880" s="2" t="s">
        <v>8484</v>
      </c>
      <c r="Y1880" s="2">
        <v>1</v>
      </c>
      <c r="Z1880" s="2">
        <v>3</v>
      </c>
      <c r="AA1880" s="2">
        <v>4</v>
      </c>
      <c r="AB1880" s="2">
        <v>1</v>
      </c>
      <c r="AC1880" s="2">
        <v>1</v>
      </c>
      <c r="AD1880" s="2">
        <v>1</v>
      </c>
      <c r="AE1880" s="2" t="s">
        <v>0</v>
      </c>
      <c r="AF1880" s="2">
        <v>1</v>
      </c>
      <c r="AG1880" s="2" t="s">
        <v>49</v>
      </c>
    </row>
    <row r="1881" spans="1:33" x14ac:dyDescent="0.2">
      <c r="A1881" s="5" t="str">
        <f>HYPERLINK("http://www.patentics.cn/invokexml.do?sf=ShowPatent&amp;spn=CN101682361B&amp;sv=9bcc6fdd2565d7c2532c9d1e580ea482","CN101682361B")</f>
        <v>CN101682361B</v>
      </c>
      <c r="B1881" s="3" t="s">
        <v>8485</v>
      </c>
      <c r="C1881" s="3" t="s">
        <v>8486</v>
      </c>
      <c r="D1881" s="3" t="s">
        <v>338</v>
      </c>
      <c r="E1881" s="3" t="s">
        <v>338</v>
      </c>
      <c r="F1881" s="3" t="s">
        <v>1306</v>
      </c>
      <c r="G1881" s="3" t="s">
        <v>1306</v>
      </c>
      <c r="H1881" s="3" t="s">
        <v>8378</v>
      </c>
      <c r="I1881" s="3" t="s">
        <v>3663</v>
      </c>
      <c r="J1881" s="3" t="s">
        <v>7200</v>
      </c>
      <c r="K1881" s="3" t="s">
        <v>70</v>
      </c>
      <c r="L1881" s="3" t="s">
        <v>71</v>
      </c>
      <c r="M1881" s="3" t="s">
        <v>0</v>
      </c>
      <c r="N1881" s="3" t="s">
        <v>0</v>
      </c>
      <c r="O1881" s="3">
        <v>51</v>
      </c>
      <c r="P1881" s="3">
        <v>10</v>
      </c>
      <c r="Q1881" s="3" t="s">
        <v>60</v>
      </c>
      <c r="R1881" s="3" t="s">
        <v>61</v>
      </c>
      <c r="S1881" s="3">
        <v>2</v>
      </c>
      <c r="T1881" s="3">
        <v>0</v>
      </c>
      <c r="U1881" s="3">
        <v>2</v>
      </c>
      <c r="V1881" s="3">
        <v>2</v>
      </c>
      <c r="W1881" s="3">
        <v>0</v>
      </c>
      <c r="X1881" s="3" t="s">
        <v>147</v>
      </c>
      <c r="Y1881" s="3">
        <v>0</v>
      </c>
      <c r="Z1881" s="3">
        <v>0</v>
      </c>
      <c r="AA1881" s="3">
        <v>0</v>
      </c>
      <c r="AB1881" s="3">
        <v>0</v>
      </c>
      <c r="AC1881" s="3">
        <v>12</v>
      </c>
      <c r="AD1881" s="3">
        <v>8</v>
      </c>
      <c r="AE1881" s="3">
        <v>14</v>
      </c>
      <c r="AF1881" s="3" t="s">
        <v>0</v>
      </c>
      <c r="AG1881" s="3" t="s">
        <v>49</v>
      </c>
    </row>
    <row r="1882" spans="1:33" ht="25.5" x14ac:dyDescent="0.2">
      <c r="A1882" s="4" t="str">
        <f>HYPERLINK("http://www.patentics.cn/invokexml.do?sf=ShowPatent&amp;spn=CN2845325&amp;sv=c423f7f219651c5dd1d4ac745c752292","CN2845325")</f>
        <v>CN2845325</v>
      </c>
      <c r="B1882" s="2" t="s">
        <v>8487</v>
      </c>
      <c r="C1882" s="2" t="s">
        <v>8488</v>
      </c>
      <c r="D1882" s="2" t="s">
        <v>38</v>
      </c>
      <c r="E1882" s="2" t="s">
        <v>38</v>
      </c>
      <c r="F1882" s="2" t="s">
        <v>8489</v>
      </c>
      <c r="G1882" s="2" t="s">
        <v>8489</v>
      </c>
      <c r="H1882" s="2" t="s">
        <v>0</v>
      </c>
      <c r="I1882" s="2" t="s">
        <v>8490</v>
      </c>
      <c r="J1882" s="2" t="s">
        <v>8491</v>
      </c>
      <c r="K1882" s="2" t="s">
        <v>58</v>
      </c>
      <c r="L1882" s="2" t="s">
        <v>8492</v>
      </c>
      <c r="M1882" s="2" t="s">
        <v>58</v>
      </c>
      <c r="N1882" s="2" t="s">
        <v>8493</v>
      </c>
      <c r="O1882" s="2">
        <v>3</v>
      </c>
      <c r="P1882" s="2">
        <v>19</v>
      </c>
      <c r="Q1882" s="2" t="s">
        <v>1786</v>
      </c>
      <c r="R1882" s="2" t="s">
        <v>47</v>
      </c>
      <c r="S1882" s="2">
        <v>0</v>
      </c>
      <c r="T1882" s="2">
        <v>0</v>
      </c>
      <c r="U1882" s="2">
        <v>0</v>
      </c>
      <c r="V1882" s="2">
        <v>0</v>
      </c>
      <c r="W1882" s="2">
        <v>4</v>
      </c>
      <c r="X1882" s="2" t="s">
        <v>8494</v>
      </c>
      <c r="Y1882" s="2">
        <v>0</v>
      </c>
      <c r="Z1882" s="2">
        <v>4</v>
      </c>
      <c r="AA1882" s="2">
        <v>3</v>
      </c>
      <c r="AB1882" s="2">
        <v>2</v>
      </c>
      <c r="AC1882" s="2">
        <v>0</v>
      </c>
      <c r="AD1882" s="2">
        <v>0</v>
      </c>
      <c r="AE1882" s="2" t="s">
        <v>0</v>
      </c>
      <c r="AF1882" s="2">
        <v>1</v>
      </c>
      <c r="AG1882" s="2" t="s">
        <v>49</v>
      </c>
    </row>
    <row r="1883" spans="1:33" ht="89.25" x14ac:dyDescent="0.2">
      <c r="A1883" s="5" t="str">
        <f>HYPERLINK("http://www.patentics.cn/invokexml.do?sf=ShowPatent&amp;spn=US9608574&amp;sv=d6fad6569d69fd0cd0744e21c4e81bb4","US9608574")</f>
        <v>US9608574</v>
      </c>
      <c r="B1883" s="3" t="s">
        <v>8495</v>
      </c>
      <c r="C1883" s="3" t="s">
        <v>8496</v>
      </c>
      <c r="D1883" s="3" t="s">
        <v>52</v>
      </c>
      <c r="E1883" s="3" t="s">
        <v>52</v>
      </c>
      <c r="F1883" s="3" t="s">
        <v>8497</v>
      </c>
      <c r="G1883" s="3" t="s">
        <v>8498</v>
      </c>
      <c r="H1883" s="3" t="s">
        <v>0</v>
      </c>
      <c r="I1883" s="3" t="s">
        <v>2679</v>
      </c>
      <c r="J1883" s="3" t="s">
        <v>3892</v>
      </c>
      <c r="K1883" s="3" t="s">
        <v>3825</v>
      </c>
      <c r="L1883" s="3" t="s">
        <v>8499</v>
      </c>
      <c r="M1883" s="3" t="s">
        <v>3825</v>
      </c>
      <c r="N1883" s="3" t="s">
        <v>8500</v>
      </c>
      <c r="O1883" s="3">
        <v>0</v>
      </c>
      <c r="P1883" s="3">
        <v>9</v>
      </c>
      <c r="Q1883" s="3" t="s">
        <v>60</v>
      </c>
      <c r="R1883" s="3" t="s">
        <v>61</v>
      </c>
      <c r="S1883" s="3">
        <v>14</v>
      </c>
      <c r="T1883" s="3">
        <v>2</v>
      </c>
      <c r="U1883" s="3">
        <v>12</v>
      </c>
      <c r="V1883" s="3">
        <v>10</v>
      </c>
      <c r="W1883" s="3">
        <v>0</v>
      </c>
      <c r="X1883" s="3" t="s">
        <v>147</v>
      </c>
      <c r="Y1883" s="3">
        <v>0</v>
      </c>
      <c r="Z1883" s="3">
        <v>0</v>
      </c>
      <c r="AA1883" s="3">
        <v>0</v>
      </c>
      <c r="AB1883" s="3">
        <v>0</v>
      </c>
      <c r="AC1883" s="3">
        <v>0</v>
      </c>
      <c r="AD1883" s="3">
        <v>0</v>
      </c>
      <c r="AE1883" s="3">
        <v>14</v>
      </c>
      <c r="AF1883" s="3" t="s">
        <v>0</v>
      </c>
      <c r="AG1883" s="3" t="s">
        <v>49</v>
      </c>
    </row>
    <row r="1884" spans="1:33" ht="25.5" x14ac:dyDescent="0.2">
      <c r="A1884" s="4" t="str">
        <f>HYPERLINK("http://www.patentics.cn/invokexml.do?sf=ShowPatent&amp;spn=CN1870810&amp;sv=51c90096a5d41f41e28906bdd5fe7cb6","CN1870810")</f>
        <v>CN1870810</v>
      </c>
      <c r="B1884" s="2" t="s">
        <v>8501</v>
      </c>
      <c r="C1884" s="2" t="s">
        <v>8502</v>
      </c>
      <c r="D1884" s="2" t="s">
        <v>38</v>
      </c>
      <c r="E1884" s="2" t="s">
        <v>38</v>
      </c>
      <c r="F1884" s="2" t="s">
        <v>8503</v>
      </c>
      <c r="G1884" s="2" t="s">
        <v>8503</v>
      </c>
      <c r="H1884" s="2" t="s">
        <v>8504</v>
      </c>
      <c r="I1884" s="2" t="s">
        <v>8504</v>
      </c>
      <c r="J1884" s="2" t="s">
        <v>5549</v>
      </c>
      <c r="K1884" s="2" t="s">
        <v>43</v>
      </c>
      <c r="L1884" s="2" t="s">
        <v>2591</v>
      </c>
      <c r="M1884" s="2" t="s">
        <v>58</v>
      </c>
      <c r="N1884" s="2" t="s">
        <v>1785</v>
      </c>
      <c r="O1884" s="2">
        <v>9</v>
      </c>
      <c r="P1884" s="2">
        <v>35</v>
      </c>
      <c r="Q1884" s="2" t="s">
        <v>46</v>
      </c>
      <c r="R1884" s="2" t="s">
        <v>47</v>
      </c>
      <c r="S1884" s="2">
        <v>0</v>
      </c>
      <c r="T1884" s="2">
        <v>0</v>
      </c>
      <c r="U1884" s="2">
        <v>0</v>
      </c>
      <c r="V1884" s="2">
        <v>0</v>
      </c>
      <c r="W1884" s="2">
        <v>3</v>
      </c>
      <c r="X1884" s="2" t="s">
        <v>48</v>
      </c>
      <c r="Y1884" s="2">
        <v>1</v>
      </c>
      <c r="Z1884" s="2">
        <v>2</v>
      </c>
      <c r="AA1884" s="2">
        <v>3</v>
      </c>
      <c r="AB1884" s="2">
        <v>3</v>
      </c>
      <c r="AC1884" s="2">
        <v>1</v>
      </c>
      <c r="AD1884" s="2">
        <v>1</v>
      </c>
      <c r="AE1884" s="2" t="s">
        <v>0</v>
      </c>
      <c r="AF1884" s="2">
        <v>1</v>
      </c>
      <c r="AG1884" s="2" t="s">
        <v>49</v>
      </c>
    </row>
    <row r="1885" spans="1:33" ht="25.5" x14ac:dyDescent="0.2">
      <c r="A1885" s="5" t="str">
        <f>HYPERLINK("http://www.patentics.cn/invokexml.do?sf=ShowPatent&amp;spn=US8873471&amp;sv=8858658730cf32427137a08ce1733831","US8873471")</f>
        <v>US8873471</v>
      </c>
      <c r="B1885" s="3" t="s">
        <v>8505</v>
      </c>
      <c r="C1885" s="3" t="s">
        <v>8506</v>
      </c>
      <c r="D1885" s="3" t="s">
        <v>52</v>
      </c>
      <c r="E1885" s="3" t="s">
        <v>52</v>
      </c>
      <c r="F1885" s="3" t="s">
        <v>2527</v>
      </c>
      <c r="G1885" s="3" t="s">
        <v>2527</v>
      </c>
      <c r="H1885" s="3" t="s">
        <v>3972</v>
      </c>
      <c r="I1885" s="3" t="s">
        <v>2345</v>
      </c>
      <c r="J1885" s="3" t="s">
        <v>489</v>
      </c>
      <c r="K1885" s="3" t="s">
        <v>82</v>
      </c>
      <c r="L1885" s="3" t="s">
        <v>83</v>
      </c>
      <c r="M1885" s="3" t="s">
        <v>82</v>
      </c>
      <c r="N1885" s="3" t="s">
        <v>7100</v>
      </c>
      <c r="O1885" s="3">
        <v>0</v>
      </c>
      <c r="P1885" s="3">
        <v>17</v>
      </c>
      <c r="Q1885" s="3" t="s">
        <v>60</v>
      </c>
      <c r="R1885" s="3" t="s">
        <v>61</v>
      </c>
      <c r="S1885" s="3">
        <v>12</v>
      </c>
      <c r="T1885" s="3">
        <v>0</v>
      </c>
      <c r="U1885" s="3">
        <v>12</v>
      </c>
      <c r="V1885" s="3">
        <v>8</v>
      </c>
      <c r="W1885" s="3">
        <v>6</v>
      </c>
      <c r="X1885" s="3" t="s">
        <v>147</v>
      </c>
      <c r="Y1885" s="3">
        <v>0</v>
      </c>
      <c r="Z1885" s="3">
        <v>6</v>
      </c>
      <c r="AA1885" s="3">
        <v>0</v>
      </c>
      <c r="AB1885" s="3">
        <v>1</v>
      </c>
      <c r="AC1885" s="3">
        <v>14</v>
      </c>
      <c r="AD1885" s="3">
        <v>12</v>
      </c>
      <c r="AE1885" s="3">
        <v>14</v>
      </c>
      <c r="AF1885" s="3" t="s">
        <v>0</v>
      </c>
      <c r="AG1885" s="3" t="s">
        <v>49</v>
      </c>
    </row>
    <row r="1886" spans="1:33" ht="25.5" x14ac:dyDescent="0.2">
      <c r="A1886" s="4" t="str">
        <f>HYPERLINK("http://www.patentics.cn/invokexml.do?sf=ShowPatent&amp;spn=CN1863136&amp;sv=3a8d02abbaf61d81505df761572e4ddd","CN1863136")</f>
        <v>CN1863136</v>
      </c>
      <c r="B1886" s="2" t="s">
        <v>8507</v>
      </c>
      <c r="C1886" s="2" t="s">
        <v>8508</v>
      </c>
      <c r="D1886" s="2" t="s">
        <v>38</v>
      </c>
      <c r="E1886" s="2" t="s">
        <v>38</v>
      </c>
      <c r="F1886" s="2" t="s">
        <v>8509</v>
      </c>
      <c r="G1886" s="2" t="s">
        <v>8510</v>
      </c>
      <c r="H1886" s="2" t="s">
        <v>483</v>
      </c>
      <c r="I1886" s="2" t="s">
        <v>483</v>
      </c>
      <c r="J1886" s="2" t="s">
        <v>5938</v>
      </c>
      <c r="K1886" s="2" t="s">
        <v>58</v>
      </c>
      <c r="L1886" s="2" t="s">
        <v>1236</v>
      </c>
      <c r="M1886" s="2" t="s">
        <v>43</v>
      </c>
      <c r="N1886" s="2" t="s">
        <v>1824</v>
      </c>
      <c r="O1886" s="2">
        <v>3</v>
      </c>
      <c r="P1886" s="2">
        <v>26</v>
      </c>
      <c r="Q1886" s="2" t="s">
        <v>46</v>
      </c>
      <c r="R1886" s="2" t="s">
        <v>47</v>
      </c>
      <c r="S1886" s="2">
        <v>0</v>
      </c>
      <c r="T1886" s="2">
        <v>0</v>
      </c>
      <c r="U1886" s="2">
        <v>0</v>
      </c>
      <c r="V1886" s="2">
        <v>0</v>
      </c>
      <c r="W1886" s="2">
        <v>2</v>
      </c>
      <c r="X1886" s="2" t="s">
        <v>7116</v>
      </c>
      <c r="Y1886" s="2">
        <v>1</v>
      </c>
      <c r="Z1886" s="2">
        <v>1</v>
      </c>
      <c r="AA1886" s="2">
        <v>2</v>
      </c>
      <c r="AB1886" s="2">
        <v>1</v>
      </c>
      <c r="AC1886" s="2">
        <v>1</v>
      </c>
      <c r="AD1886" s="2">
        <v>1</v>
      </c>
      <c r="AE1886" s="2" t="s">
        <v>0</v>
      </c>
      <c r="AF1886" s="2">
        <v>1</v>
      </c>
      <c r="AG1886" s="2" t="s">
        <v>49</v>
      </c>
    </row>
    <row r="1887" spans="1:33" ht="76.5" x14ac:dyDescent="0.2">
      <c r="A1887" s="5" t="str">
        <f>HYPERLINK("http://www.patentics.cn/invokexml.do?sf=ShowPatent&amp;spn=CN103260252B&amp;sv=39001f3d3428da54a57f97565264607c","CN103260252B")</f>
        <v>CN103260252B</v>
      </c>
      <c r="B1887" s="3" t="s">
        <v>8511</v>
      </c>
      <c r="C1887" s="3" t="s">
        <v>8512</v>
      </c>
      <c r="D1887" s="3" t="s">
        <v>338</v>
      </c>
      <c r="E1887" s="3" t="s">
        <v>338</v>
      </c>
      <c r="F1887" s="3" t="s">
        <v>8513</v>
      </c>
      <c r="G1887" s="3" t="s">
        <v>5979</v>
      </c>
      <c r="H1887" s="3" t="s">
        <v>3972</v>
      </c>
      <c r="I1887" s="3" t="s">
        <v>2609</v>
      </c>
      <c r="J1887" s="3" t="s">
        <v>2487</v>
      </c>
      <c r="K1887" s="3" t="s">
        <v>82</v>
      </c>
      <c r="L1887" s="3" t="s">
        <v>1310</v>
      </c>
      <c r="M1887" s="3" t="s">
        <v>0</v>
      </c>
      <c r="N1887" s="3" t="s">
        <v>0</v>
      </c>
      <c r="O1887" s="3">
        <v>16</v>
      </c>
      <c r="P1887" s="3">
        <v>17</v>
      </c>
      <c r="Q1887" s="3" t="s">
        <v>60</v>
      </c>
      <c r="R1887" s="3" t="s">
        <v>61</v>
      </c>
      <c r="S1887" s="3">
        <v>4</v>
      </c>
      <c r="T1887" s="3">
        <v>1</v>
      </c>
      <c r="U1887" s="3">
        <v>3</v>
      </c>
      <c r="V1887" s="3">
        <v>4</v>
      </c>
      <c r="W1887" s="3">
        <v>0</v>
      </c>
      <c r="X1887" s="3" t="s">
        <v>147</v>
      </c>
      <c r="Y1887" s="3">
        <v>0</v>
      </c>
      <c r="Z1887" s="3">
        <v>0</v>
      </c>
      <c r="AA1887" s="3">
        <v>0</v>
      </c>
      <c r="AB1887" s="3">
        <v>0</v>
      </c>
      <c r="AC1887" s="3">
        <v>0</v>
      </c>
      <c r="AD1887" s="3">
        <v>0</v>
      </c>
      <c r="AE1887" s="3">
        <v>14</v>
      </c>
      <c r="AF1887" s="3" t="s">
        <v>0</v>
      </c>
      <c r="AG1887" s="3" t="s">
        <v>49</v>
      </c>
    </row>
    <row r="1888" spans="1:33" ht="25.5" x14ac:dyDescent="0.2">
      <c r="A1888" s="4" t="str">
        <f>HYPERLINK("http://www.patentics.cn/invokexml.do?sf=ShowPatent&amp;spn=CN1859343&amp;sv=4a96cd5901f2f462acee0e8a8cb4113a","CN1859343")</f>
        <v>CN1859343</v>
      </c>
      <c r="B1888" s="2" t="s">
        <v>8514</v>
      </c>
      <c r="C1888" s="2" t="s">
        <v>8515</v>
      </c>
      <c r="D1888" s="2" t="s">
        <v>38</v>
      </c>
      <c r="E1888" s="2" t="s">
        <v>38</v>
      </c>
      <c r="F1888" s="2" t="s">
        <v>7678</v>
      </c>
      <c r="G1888" s="2" t="s">
        <v>7678</v>
      </c>
      <c r="H1888" s="2" t="s">
        <v>8516</v>
      </c>
      <c r="I1888" s="2" t="s">
        <v>8516</v>
      </c>
      <c r="J1888" s="2" t="s">
        <v>5568</v>
      </c>
      <c r="K1888" s="2" t="s">
        <v>58</v>
      </c>
      <c r="L1888" s="2" t="s">
        <v>4713</v>
      </c>
      <c r="M1888" s="2" t="s">
        <v>84</v>
      </c>
      <c r="N1888" s="2" t="s">
        <v>8517</v>
      </c>
      <c r="O1888" s="2">
        <v>11</v>
      </c>
      <c r="P1888" s="2">
        <v>21</v>
      </c>
      <c r="Q1888" s="2" t="s">
        <v>46</v>
      </c>
      <c r="R1888" s="2" t="s">
        <v>47</v>
      </c>
      <c r="S1888" s="2">
        <v>0</v>
      </c>
      <c r="T1888" s="2">
        <v>0</v>
      </c>
      <c r="U1888" s="2">
        <v>0</v>
      </c>
      <c r="V1888" s="2">
        <v>0</v>
      </c>
      <c r="W1888" s="2">
        <v>6</v>
      </c>
      <c r="X1888" s="2" t="s">
        <v>7059</v>
      </c>
      <c r="Y1888" s="2">
        <v>2</v>
      </c>
      <c r="Z1888" s="2">
        <v>4</v>
      </c>
      <c r="AA1888" s="2">
        <v>4</v>
      </c>
      <c r="AB1888" s="2">
        <v>3</v>
      </c>
      <c r="AC1888" s="2">
        <v>1</v>
      </c>
      <c r="AD1888" s="2">
        <v>1</v>
      </c>
      <c r="AE1888" s="2" t="s">
        <v>0</v>
      </c>
      <c r="AF1888" s="2">
        <v>1</v>
      </c>
      <c r="AG1888" s="2" t="s">
        <v>755</v>
      </c>
    </row>
    <row r="1889" spans="1:33" ht="38.25" x14ac:dyDescent="0.2">
      <c r="A1889" s="5" t="str">
        <f>HYPERLINK("http://www.patentics.cn/invokexml.do?sf=ShowPatent&amp;spn=CN101641920B&amp;sv=0f3fec16f2f8be6d5b6b7d28a4938a59","CN101641920B")</f>
        <v>CN101641920B</v>
      </c>
      <c r="B1889" s="3" t="s">
        <v>8518</v>
      </c>
      <c r="C1889" s="3" t="s">
        <v>8519</v>
      </c>
      <c r="D1889" s="3" t="s">
        <v>338</v>
      </c>
      <c r="E1889" s="3" t="s">
        <v>338</v>
      </c>
      <c r="F1889" s="3" t="s">
        <v>8520</v>
      </c>
      <c r="G1889" s="3" t="s">
        <v>8521</v>
      </c>
      <c r="H1889" s="3" t="s">
        <v>8522</v>
      </c>
      <c r="I1889" s="3" t="s">
        <v>8523</v>
      </c>
      <c r="J1889" s="3" t="s">
        <v>8524</v>
      </c>
      <c r="K1889" s="3" t="s">
        <v>58</v>
      </c>
      <c r="L1889" s="3" t="s">
        <v>4713</v>
      </c>
      <c r="M1889" s="3" t="s">
        <v>0</v>
      </c>
      <c r="N1889" s="3" t="s">
        <v>0</v>
      </c>
      <c r="O1889" s="3">
        <v>24</v>
      </c>
      <c r="P1889" s="3">
        <v>17</v>
      </c>
      <c r="Q1889" s="3" t="s">
        <v>60</v>
      </c>
      <c r="R1889" s="3" t="s">
        <v>61</v>
      </c>
      <c r="S1889" s="3">
        <v>2</v>
      </c>
      <c r="T1889" s="3">
        <v>0</v>
      </c>
      <c r="U1889" s="3">
        <v>2</v>
      </c>
      <c r="V1889" s="3">
        <v>2</v>
      </c>
      <c r="W1889" s="3">
        <v>0</v>
      </c>
      <c r="X1889" s="3" t="s">
        <v>147</v>
      </c>
      <c r="Y1889" s="3">
        <v>0</v>
      </c>
      <c r="Z1889" s="3">
        <v>0</v>
      </c>
      <c r="AA1889" s="3">
        <v>0</v>
      </c>
      <c r="AB1889" s="3">
        <v>0</v>
      </c>
      <c r="AC1889" s="3">
        <v>29</v>
      </c>
      <c r="AD1889" s="3">
        <v>12</v>
      </c>
      <c r="AE1889" s="3">
        <v>14</v>
      </c>
      <c r="AF1889" s="3" t="s">
        <v>0</v>
      </c>
      <c r="AG1889" s="3" t="s">
        <v>755</v>
      </c>
    </row>
    <row r="1890" spans="1:33" ht="25.5" x14ac:dyDescent="0.2">
      <c r="A1890" s="4" t="str">
        <f>HYPERLINK("http://www.patentics.cn/invokexml.do?sf=ShowPatent&amp;spn=CN1829119&amp;sv=2e1848c5079a87f8d1e11e72b61a878f","CN1829119")</f>
        <v>CN1829119</v>
      </c>
      <c r="B1890" s="2" t="s">
        <v>8525</v>
      </c>
      <c r="C1890" s="2" t="s">
        <v>8526</v>
      </c>
      <c r="D1890" s="2" t="s">
        <v>38</v>
      </c>
      <c r="E1890" s="2" t="s">
        <v>38</v>
      </c>
      <c r="F1890" s="2" t="s">
        <v>8527</v>
      </c>
      <c r="G1890" s="2" t="s">
        <v>7565</v>
      </c>
      <c r="H1890" s="2" t="s">
        <v>3654</v>
      </c>
      <c r="I1890" s="2" t="s">
        <v>3654</v>
      </c>
      <c r="J1890" s="2" t="s">
        <v>8528</v>
      </c>
      <c r="K1890" s="2" t="s">
        <v>84</v>
      </c>
      <c r="L1890" s="2" t="s">
        <v>401</v>
      </c>
      <c r="M1890" s="2" t="s">
        <v>84</v>
      </c>
      <c r="N1890" s="2" t="s">
        <v>2604</v>
      </c>
      <c r="O1890" s="2">
        <v>10</v>
      </c>
      <c r="P1890" s="2">
        <v>22</v>
      </c>
      <c r="Q1890" s="2" t="s">
        <v>46</v>
      </c>
      <c r="R1890" s="2" t="s">
        <v>47</v>
      </c>
      <c r="S1890" s="2">
        <v>1</v>
      </c>
      <c r="T1890" s="2">
        <v>1</v>
      </c>
      <c r="U1890" s="2">
        <v>0</v>
      </c>
      <c r="V1890" s="2">
        <v>1</v>
      </c>
      <c r="W1890" s="2">
        <v>8</v>
      </c>
      <c r="X1890" s="2" t="s">
        <v>5017</v>
      </c>
      <c r="Y1890" s="2">
        <v>2</v>
      </c>
      <c r="Z1890" s="2">
        <v>6</v>
      </c>
      <c r="AA1890" s="2">
        <v>5</v>
      </c>
      <c r="AB1890" s="2">
        <v>3</v>
      </c>
      <c r="AC1890" s="2">
        <v>11</v>
      </c>
      <c r="AD1890" s="2">
        <v>8</v>
      </c>
      <c r="AE1890" s="2" t="s">
        <v>0</v>
      </c>
      <c r="AF1890" s="2">
        <v>1</v>
      </c>
      <c r="AG1890" s="2" t="s">
        <v>49</v>
      </c>
    </row>
    <row r="1891" spans="1:33" ht="89.25" x14ac:dyDescent="0.2">
      <c r="A1891" s="5" t="str">
        <f>HYPERLINK("http://www.patentics.cn/invokexml.do?sf=ShowPatent&amp;spn=US8666004&amp;sv=894317a35d7a1760995b1d313ead38e9","US8666004")</f>
        <v>US8666004</v>
      </c>
      <c r="B1891" s="3" t="s">
        <v>3659</v>
      </c>
      <c r="C1891" s="3" t="s">
        <v>3660</v>
      </c>
      <c r="D1891" s="3" t="s">
        <v>52</v>
      </c>
      <c r="E1891" s="3" t="s">
        <v>52</v>
      </c>
      <c r="F1891" s="3" t="s">
        <v>3661</v>
      </c>
      <c r="G1891" s="3" t="s">
        <v>3662</v>
      </c>
      <c r="H1891" s="3" t="s">
        <v>3663</v>
      </c>
      <c r="I1891" s="3" t="s">
        <v>3663</v>
      </c>
      <c r="J1891" s="3" t="s">
        <v>2610</v>
      </c>
      <c r="K1891" s="3" t="s">
        <v>58</v>
      </c>
      <c r="L1891" s="3" t="s">
        <v>450</v>
      </c>
      <c r="M1891" s="3" t="s">
        <v>84</v>
      </c>
      <c r="N1891" s="3" t="s">
        <v>3664</v>
      </c>
      <c r="O1891" s="3">
        <v>0</v>
      </c>
      <c r="P1891" s="3">
        <v>14</v>
      </c>
      <c r="Q1891" s="3" t="s">
        <v>60</v>
      </c>
      <c r="R1891" s="3" t="s">
        <v>61</v>
      </c>
      <c r="S1891" s="3">
        <v>19</v>
      </c>
      <c r="T1891" s="3">
        <v>0</v>
      </c>
      <c r="U1891" s="3">
        <v>19</v>
      </c>
      <c r="V1891" s="3">
        <v>8</v>
      </c>
      <c r="W1891" s="3">
        <v>2</v>
      </c>
      <c r="X1891" s="3" t="s">
        <v>104</v>
      </c>
      <c r="Y1891" s="3">
        <v>0</v>
      </c>
      <c r="Z1891" s="3">
        <v>2</v>
      </c>
      <c r="AA1891" s="3">
        <v>2</v>
      </c>
      <c r="AB1891" s="3">
        <v>1</v>
      </c>
      <c r="AC1891" s="3">
        <v>13</v>
      </c>
      <c r="AD1891" s="3">
        <v>9</v>
      </c>
      <c r="AE1891" s="3">
        <v>14</v>
      </c>
      <c r="AF1891" s="3" t="s">
        <v>0</v>
      </c>
      <c r="AG1891" s="3" t="s">
        <v>49</v>
      </c>
    </row>
    <row r="1892" spans="1:33" ht="38.25" x14ac:dyDescent="0.2">
      <c r="A1892" s="4" t="str">
        <f>HYPERLINK("http://www.patentics.cn/invokexml.do?sf=ShowPatent&amp;spn=CN1798053&amp;sv=91824115b3f5d2c3c7be906610286e72","CN1798053")</f>
        <v>CN1798053</v>
      </c>
      <c r="B1892" s="2" t="s">
        <v>8529</v>
      </c>
      <c r="C1892" s="2" t="s">
        <v>8530</v>
      </c>
      <c r="D1892" s="2" t="s">
        <v>38</v>
      </c>
      <c r="E1892" s="2" t="s">
        <v>38</v>
      </c>
      <c r="F1892" s="2" t="s">
        <v>8531</v>
      </c>
      <c r="G1892" s="2" t="s">
        <v>8532</v>
      </c>
      <c r="H1892" s="2" t="s">
        <v>233</v>
      </c>
      <c r="I1892" s="2" t="s">
        <v>233</v>
      </c>
      <c r="J1892" s="2" t="s">
        <v>8533</v>
      </c>
      <c r="K1892" s="2" t="s">
        <v>58</v>
      </c>
      <c r="L1892" s="2" t="s">
        <v>752</v>
      </c>
      <c r="M1892" s="2" t="s">
        <v>58</v>
      </c>
      <c r="N1892" s="2" t="s">
        <v>1785</v>
      </c>
      <c r="O1892" s="2">
        <v>6</v>
      </c>
      <c r="P1892" s="2">
        <v>24</v>
      </c>
      <c r="Q1892" s="2" t="s">
        <v>46</v>
      </c>
      <c r="R1892" s="2" t="s">
        <v>47</v>
      </c>
      <c r="S1892" s="2">
        <v>0</v>
      </c>
      <c r="T1892" s="2">
        <v>0</v>
      </c>
      <c r="U1892" s="2">
        <v>0</v>
      </c>
      <c r="V1892" s="2">
        <v>0</v>
      </c>
      <c r="W1892" s="2">
        <v>12</v>
      </c>
      <c r="X1892" s="2" t="s">
        <v>8534</v>
      </c>
      <c r="Y1892" s="2">
        <v>4</v>
      </c>
      <c r="Z1892" s="2">
        <v>8</v>
      </c>
      <c r="AA1892" s="2">
        <v>9</v>
      </c>
      <c r="AB1892" s="2">
        <v>3</v>
      </c>
      <c r="AC1892" s="2">
        <v>1</v>
      </c>
      <c r="AD1892" s="2">
        <v>1</v>
      </c>
      <c r="AE1892" s="2" t="s">
        <v>0</v>
      </c>
      <c r="AF1892" s="2">
        <v>1</v>
      </c>
      <c r="AG1892" s="2" t="s">
        <v>755</v>
      </c>
    </row>
    <row r="1893" spans="1:33" ht="89.25" x14ac:dyDescent="0.2">
      <c r="A1893" s="5" t="str">
        <f>HYPERLINK("http://www.patentics.cn/invokexml.do?sf=ShowPatent&amp;spn=US8743863&amp;sv=e242e7641f9020c95353ab1c589f9340","US8743863")</f>
        <v>US8743863</v>
      </c>
      <c r="B1893" s="3" t="s">
        <v>8535</v>
      </c>
      <c r="C1893" s="3" t="s">
        <v>8536</v>
      </c>
      <c r="D1893" s="3" t="s">
        <v>52</v>
      </c>
      <c r="E1893" s="3" t="s">
        <v>52</v>
      </c>
      <c r="F1893" s="3" t="s">
        <v>8537</v>
      </c>
      <c r="G1893" s="3" t="s">
        <v>2470</v>
      </c>
      <c r="H1893" s="3" t="s">
        <v>3868</v>
      </c>
      <c r="I1893" s="3" t="s">
        <v>3232</v>
      </c>
      <c r="J1893" s="3" t="s">
        <v>3505</v>
      </c>
      <c r="K1893" s="3" t="s">
        <v>70</v>
      </c>
      <c r="L1893" s="3" t="s">
        <v>1082</v>
      </c>
      <c r="M1893" s="3" t="s">
        <v>70</v>
      </c>
      <c r="N1893" s="3" t="s">
        <v>8538</v>
      </c>
      <c r="O1893" s="3">
        <v>0</v>
      </c>
      <c r="P1893" s="3">
        <v>24</v>
      </c>
      <c r="Q1893" s="3" t="s">
        <v>60</v>
      </c>
      <c r="R1893" s="3" t="s">
        <v>61</v>
      </c>
      <c r="S1893" s="3">
        <v>17</v>
      </c>
      <c r="T1893" s="3">
        <v>1</v>
      </c>
      <c r="U1893" s="3">
        <v>16</v>
      </c>
      <c r="V1893" s="3">
        <v>12</v>
      </c>
      <c r="W1893" s="3">
        <v>0</v>
      </c>
      <c r="X1893" s="3" t="s">
        <v>147</v>
      </c>
      <c r="Y1893" s="3">
        <v>0</v>
      </c>
      <c r="Z1893" s="3">
        <v>0</v>
      </c>
      <c r="AA1893" s="3">
        <v>0</v>
      </c>
      <c r="AB1893" s="3">
        <v>0</v>
      </c>
      <c r="AC1893" s="3">
        <v>9</v>
      </c>
      <c r="AD1893" s="3">
        <v>7</v>
      </c>
      <c r="AE1893" s="3">
        <v>14</v>
      </c>
      <c r="AF1893" s="3" t="s">
        <v>0</v>
      </c>
      <c r="AG1893" s="3" t="s">
        <v>49</v>
      </c>
    </row>
    <row r="1894" spans="1:33" ht="38.25" x14ac:dyDescent="0.2">
      <c r="A1894" s="4" t="str">
        <f>HYPERLINK("http://www.patentics.cn/invokexml.do?sf=ShowPatent&amp;spn=CN1750513&amp;sv=62423dbee0a74c657336a0d7fb2fa5ac","CN1750513")</f>
        <v>CN1750513</v>
      </c>
      <c r="B1894" s="2" t="s">
        <v>8539</v>
      </c>
      <c r="C1894" s="2" t="s">
        <v>8540</v>
      </c>
      <c r="D1894" s="2" t="s">
        <v>38</v>
      </c>
      <c r="E1894" s="2" t="s">
        <v>38</v>
      </c>
      <c r="F1894" s="2" t="s">
        <v>5984</v>
      </c>
      <c r="G1894" s="2" t="s">
        <v>2886</v>
      </c>
      <c r="H1894" s="2" t="s">
        <v>8541</v>
      </c>
      <c r="I1894" s="2" t="s">
        <v>8541</v>
      </c>
      <c r="J1894" s="2" t="s">
        <v>8542</v>
      </c>
      <c r="K1894" s="2" t="s">
        <v>58</v>
      </c>
      <c r="L1894" s="2" t="s">
        <v>1236</v>
      </c>
      <c r="M1894" s="2" t="s">
        <v>58</v>
      </c>
      <c r="N1894" s="2" t="s">
        <v>1785</v>
      </c>
      <c r="O1894" s="2">
        <v>10</v>
      </c>
      <c r="P1894" s="2">
        <v>22</v>
      </c>
      <c r="Q1894" s="2" t="s">
        <v>46</v>
      </c>
      <c r="R1894" s="2" t="s">
        <v>47</v>
      </c>
      <c r="S1894" s="2">
        <v>0</v>
      </c>
      <c r="T1894" s="2">
        <v>0</v>
      </c>
      <c r="U1894" s="2">
        <v>0</v>
      </c>
      <c r="V1894" s="2">
        <v>0</v>
      </c>
      <c r="W1894" s="2">
        <v>9</v>
      </c>
      <c r="X1894" s="2" t="s">
        <v>8543</v>
      </c>
      <c r="Y1894" s="2">
        <v>2</v>
      </c>
      <c r="Z1894" s="2">
        <v>7</v>
      </c>
      <c r="AA1894" s="2">
        <v>5</v>
      </c>
      <c r="AB1894" s="2">
        <v>2</v>
      </c>
      <c r="AC1894" s="2">
        <v>1</v>
      </c>
      <c r="AD1894" s="2">
        <v>1</v>
      </c>
      <c r="AE1894" s="2" t="s">
        <v>0</v>
      </c>
      <c r="AF1894" s="2">
        <v>1</v>
      </c>
      <c r="AG1894" s="2" t="s">
        <v>49</v>
      </c>
    </row>
    <row r="1895" spans="1:33" ht="51" x14ac:dyDescent="0.2">
      <c r="A1895" s="5" t="str">
        <f>HYPERLINK("http://www.patentics.cn/invokexml.do?sf=ShowPatent&amp;spn=CN101637059B&amp;sv=dd8332172c73747e13b55b06ffba2e03","CN101637059B")</f>
        <v>CN101637059B</v>
      </c>
      <c r="B1895" s="3" t="s">
        <v>8544</v>
      </c>
      <c r="C1895" s="3" t="s">
        <v>8545</v>
      </c>
      <c r="D1895" s="3" t="s">
        <v>338</v>
      </c>
      <c r="E1895" s="3" t="s">
        <v>338</v>
      </c>
      <c r="F1895" s="3" t="s">
        <v>8546</v>
      </c>
      <c r="G1895" s="3" t="s">
        <v>3983</v>
      </c>
      <c r="H1895" s="3" t="s">
        <v>8547</v>
      </c>
      <c r="I1895" s="3" t="s">
        <v>6896</v>
      </c>
      <c r="J1895" s="3" t="s">
        <v>4144</v>
      </c>
      <c r="K1895" s="3" t="s">
        <v>82</v>
      </c>
      <c r="L1895" s="3" t="s">
        <v>1444</v>
      </c>
      <c r="M1895" s="3" t="s">
        <v>0</v>
      </c>
      <c r="N1895" s="3" t="s">
        <v>0</v>
      </c>
      <c r="O1895" s="3">
        <v>32</v>
      </c>
      <c r="P1895" s="3">
        <v>18</v>
      </c>
      <c r="Q1895" s="3" t="s">
        <v>60</v>
      </c>
      <c r="R1895" s="3" t="s">
        <v>61</v>
      </c>
      <c r="S1895" s="3">
        <v>3</v>
      </c>
      <c r="T1895" s="3">
        <v>0</v>
      </c>
      <c r="U1895" s="3">
        <v>3</v>
      </c>
      <c r="V1895" s="3">
        <v>3</v>
      </c>
      <c r="W1895" s="3">
        <v>0</v>
      </c>
      <c r="X1895" s="3" t="s">
        <v>147</v>
      </c>
      <c r="Y1895" s="3">
        <v>0</v>
      </c>
      <c r="Z1895" s="3">
        <v>0</v>
      </c>
      <c r="AA1895" s="3">
        <v>0</v>
      </c>
      <c r="AB1895" s="3">
        <v>0</v>
      </c>
      <c r="AC1895" s="3">
        <v>19</v>
      </c>
      <c r="AD1895" s="3">
        <v>11</v>
      </c>
      <c r="AE1895" s="3">
        <v>14</v>
      </c>
      <c r="AF1895" s="3" t="s">
        <v>0</v>
      </c>
      <c r="AG1895" s="3" t="s">
        <v>49</v>
      </c>
    </row>
    <row r="1896" spans="1:33" ht="38.25" x14ac:dyDescent="0.2">
      <c r="A1896" s="4" t="str">
        <f>HYPERLINK("http://www.patentics.cn/invokexml.do?sf=ShowPatent&amp;spn=CN1710991&amp;sv=18eb26a9b15e210db4b74357780425f5","CN1710991")</f>
        <v>CN1710991</v>
      </c>
      <c r="B1896" s="2" t="s">
        <v>8548</v>
      </c>
      <c r="C1896" s="2" t="s">
        <v>8549</v>
      </c>
      <c r="D1896" s="2" t="s">
        <v>38</v>
      </c>
      <c r="E1896" s="2" t="s">
        <v>38</v>
      </c>
      <c r="F1896" s="2" t="s">
        <v>8550</v>
      </c>
      <c r="G1896" s="2" t="s">
        <v>4108</v>
      </c>
      <c r="H1896" s="2" t="s">
        <v>8551</v>
      </c>
      <c r="I1896" s="2" t="s">
        <v>8551</v>
      </c>
      <c r="J1896" s="2" t="s">
        <v>8552</v>
      </c>
      <c r="K1896" s="2" t="s">
        <v>43</v>
      </c>
      <c r="L1896" s="2" t="s">
        <v>2591</v>
      </c>
      <c r="M1896" s="2" t="s">
        <v>43</v>
      </c>
      <c r="N1896" s="2" t="s">
        <v>45</v>
      </c>
      <c r="O1896" s="2">
        <v>6</v>
      </c>
      <c r="P1896" s="2">
        <v>25</v>
      </c>
      <c r="Q1896" s="2" t="s">
        <v>46</v>
      </c>
      <c r="R1896" s="2" t="s">
        <v>47</v>
      </c>
      <c r="S1896" s="2">
        <v>0</v>
      </c>
      <c r="T1896" s="2">
        <v>0</v>
      </c>
      <c r="U1896" s="2">
        <v>0</v>
      </c>
      <c r="V1896" s="2">
        <v>0</v>
      </c>
      <c r="W1896" s="2">
        <v>4</v>
      </c>
      <c r="X1896" s="2" t="s">
        <v>4994</v>
      </c>
      <c r="Y1896" s="2">
        <v>1</v>
      </c>
      <c r="Z1896" s="2">
        <v>3</v>
      </c>
      <c r="AA1896" s="2">
        <v>4</v>
      </c>
      <c r="AB1896" s="2">
        <v>2</v>
      </c>
      <c r="AC1896" s="2">
        <v>1</v>
      </c>
      <c r="AD1896" s="2">
        <v>1</v>
      </c>
      <c r="AE1896" s="2" t="s">
        <v>0</v>
      </c>
      <c r="AF1896" s="2">
        <v>1</v>
      </c>
      <c r="AG1896" s="2" t="s">
        <v>755</v>
      </c>
    </row>
    <row r="1897" spans="1:33" ht="63.75" x14ac:dyDescent="0.2">
      <c r="A1897" s="5" t="str">
        <f>HYPERLINK("http://www.patentics.cn/invokexml.do?sf=ShowPatent&amp;spn=US8837430&amp;sv=67d552b6367022d19ba0bf6d099c46bf","US8837430")</f>
        <v>US8837430</v>
      </c>
      <c r="B1897" s="3" t="s">
        <v>8553</v>
      </c>
      <c r="C1897" s="3" t="s">
        <v>8554</v>
      </c>
      <c r="D1897" s="3" t="s">
        <v>52</v>
      </c>
      <c r="E1897" s="3" t="s">
        <v>52</v>
      </c>
      <c r="F1897" s="3" t="s">
        <v>1457</v>
      </c>
      <c r="G1897" s="3" t="s">
        <v>1458</v>
      </c>
      <c r="H1897" s="3" t="s">
        <v>2585</v>
      </c>
      <c r="I1897" s="3" t="s">
        <v>4116</v>
      </c>
      <c r="J1897" s="3" t="s">
        <v>1045</v>
      </c>
      <c r="K1897" s="3" t="s">
        <v>82</v>
      </c>
      <c r="L1897" s="3" t="s">
        <v>83</v>
      </c>
      <c r="M1897" s="3" t="s">
        <v>82</v>
      </c>
      <c r="N1897" s="3" t="s">
        <v>1011</v>
      </c>
      <c r="O1897" s="3">
        <v>0</v>
      </c>
      <c r="P1897" s="3">
        <v>13</v>
      </c>
      <c r="Q1897" s="3" t="s">
        <v>60</v>
      </c>
      <c r="R1897" s="3" t="s">
        <v>61</v>
      </c>
      <c r="S1897" s="3">
        <v>12</v>
      </c>
      <c r="T1897" s="3">
        <v>1</v>
      </c>
      <c r="U1897" s="3">
        <v>11</v>
      </c>
      <c r="V1897" s="3">
        <v>8</v>
      </c>
      <c r="W1897" s="3">
        <v>0</v>
      </c>
      <c r="X1897" s="3" t="s">
        <v>147</v>
      </c>
      <c r="Y1897" s="3">
        <v>0</v>
      </c>
      <c r="Z1897" s="3">
        <v>0</v>
      </c>
      <c r="AA1897" s="3">
        <v>0</v>
      </c>
      <c r="AB1897" s="3">
        <v>0</v>
      </c>
      <c r="AC1897" s="3">
        <v>5</v>
      </c>
      <c r="AD1897" s="3">
        <v>4</v>
      </c>
      <c r="AE1897" s="3">
        <v>14</v>
      </c>
      <c r="AF1897" s="3" t="s">
        <v>0</v>
      </c>
      <c r="AG1897" s="3" t="s">
        <v>49</v>
      </c>
    </row>
    <row r="1898" spans="1:33" ht="25.5" x14ac:dyDescent="0.2">
      <c r="A1898" s="4" t="str">
        <f>HYPERLINK("http://www.patentics.cn/invokexml.do?sf=ShowPatent&amp;spn=CN1708005&amp;sv=9ae8cfe3b9f3fcc7a39e88560cc926ef","CN1708005")</f>
        <v>CN1708005</v>
      </c>
      <c r="B1898" s="2" t="s">
        <v>8555</v>
      </c>
      <c r="C1898" s="2" t="s">
        <v>8556</v>
      </c>
      <c r="D1898" s="2" t="s">
        <v>38</v>
      </c>
      <c r="E1898" s="2" t="s">
        <v>38</v>
      </c>
      <c r="F1898" s="2" t="s">
        <v>8557</v>
      </c>
      <c r="G1898" s="2" t="s">
        <v>8558</v>
      </c>
      <c r="H1898" s="2" t="s">
        <v>8559</v>
      </c>
      <c r="I1898" s="2" t="s">
        <v>8559</v>
      </c>
      <c r="J1898" s="2" t="s">
        <v>8560</v>
      </c>
      <c r="K1898" s="2" t="s">
        <v>58</v>
      </c>
      <c r="L1898" s="2" t="s">
        <v>8561</v>
      </c>
      <c r="M1898" s="2" t="s">
        <v>58</v>
      </c>
      <c r="N1898" s="2" t="s">
        <v>3921</v>
      </c>
      <c r="O1898" s="2">
        <v>6</v>
      </c>
      <c r="P1898" s="2">
        <v>17</v>
      </c>
      <c r="Q1898" s="2" t="s">
        <v>46</v>
      </c>
      <c r="R1898" s="2" t="s">
        <v>47</v>
      </c>
      <c r="S1898" s="2">
        <v>0</v>
      </c>
      <c r="T1898" s="2">
        <v>0</v>
      </c>
      <c r="U1898" s="2">
        <v>0</v>
      </c>
      <c r="V1898" s="2">
        <v>0</v>
      </c>
      <c r="W1898" s="2">
        <v>5</v>
      </c>
      <c r="X1898" s="2" t="s">
        <v>8562</v>
      </c>
      <c r="Y1898" s="2">
        <v>0</v>
      </c>
      <c r="Z1898" s="2">
        <v>5</v>
      </c>
      <c r="AA1898" s="2">
        <v>4</v>
      </c>
      <c r="AB1898" s="2">
        <v>3</v>
      </c>
      <c r="AC1898" s="2">
        <v>1</v>
      </c>
      <c r="AD1898" s="2">
        <v>1</v>
      </c>
      <c r="AE1898" s="2" t="s">
        <v>0</v>
      </c>
      <c r="AF1898" s="2">
        <v>1</v>
      </c>
      <c r="AG1898" s="2" t="s">
        <v>49</v>
      </c>
    </row>
    <row r="1899" spans="1:33" ht="63.75" x14ac:dyDescent="0.2">
      <c r="A1899" s="5" t="str">
        <f>HYPERLINK("http://www.patentics.cn/invokexml.do?sf=ShowPatent&amp;spn=CN101416469B&amp;sv=5c53cb4d6fa4103bb9347bfaef728a96","CN101416469B")</f>
        <v>CN101416469B</v>
      </c>
      <c r="B1899" s="3" t="s">
        <v>8563</v>
      </c>
      <c r="C1899" s="3" t="s">
        <v>8564</v>
      </c>
      <c r="D1899" s="3" t="s">
        <v>338</v>
      </c>
      <c r="E1899" s="3" t="s">
        <v>338</v>
      </c>
      <c r="F1899" s="3" t="s">
        <v>8565</v>
      </c>
      <c r="G1899" s="3" t="s">
        <v>8566</v>
      </c>
      <c r="H1899" s="3" t="s">
        <v>8567</v>
      </c>
      <c r="I1899" s="3" t="s">
        <v>8568</v>
      </c>
      <c r="J1899" s="3" t="s">
        <v>2971</v>
      </c>
      <c r="K1899" s="3" t="s">
        <v>58</v>
      </c>
      <c r="L1899" s="3" t="s">
        <v>722</v>
      </c>
      <c r="M1899" s="3" t="s">
        <v>0</v>
      </c>
      <c r="N1899" s="3" t="s">
        <v>0</v>
      </c>
      <c r="O1899" s="3">
        <v>18</v>
      </c>
      <c r="P1899" s="3">
        <v>10</v>
      </c>
      <c r="Q1899" s="3" t="s">
        <v>60</v>
      </c>
      <c r="R1899" s="3" t="s">
        <v>61</v>
      </c>
      <c r="S1899" s="3">
        <v>5</v>
      </c>
      <c r="T1899" s="3">
        <v>0</v>
      </c>
      <c r="U1899" s="3">
        <v>5</v>
      </c>
      <c r="V1899" s="3">
        <v>4</v>
      </c>
      <c r="W1899" s="3">
        <v>0</v>
      </c>
      <c r="X1899" s="3" t="s">
        <v>147</v>
      </c>
      <c r="Y1899" s="3">
        <v>0</v>
      </c>
      <c r="Z1899" s="3">
        <v>0</v>
      </c>
      <c r="AA1899" s="3">
        <v>0</v>
      </c>
      <c r="AB1899" s="3">
        <v>0</v>
      </c>
      <c r="AC1899" s="3">
        <v>21</v>
      </c>
      <c r="AD1899" s="3">
        <v>14</v>
      </c>
      <c r="AE1899" s="3">
        <v>14</v>
      </c>
      <c r="AF1899" s="3" t="s">
        <v>0</v>
      </c>
      <c r="AG1899" s="3" t="s">
        <v>49</v>
      </c>
    </row>
    <row r="1900" spans="1:33" ht="25.5" x14ac:dyDescent="0.2">
      <c r="A1900" s="4" t="str">
        <f>HYPERLINK("http://www.patentics.cn/invokexml.do?sf=ShowPatent&amp;spn=CN1607767&amp;sv=a4fd89dd7d80ebb0a09829ec72635928","CN1607767")</f>
        <v>CN1607767</v>
      </c>
      <c r="B1900" s="2" t="s">
        <v>8569</v>
      </c>
      <c r="C1900" s="2" t="s">
        <v>8570</v>
      </c>
      <c r="D1900" s="2" t="s">
        <v>38</v>
      </c>
      <c r="E1900" s="2" t="s">
        <v>38</v>
      </c>
      <c r="F1900" s="2" t="s">
        <v>8571</v>
      </c>
      <c r="G1900" s="2" t="s">
        <v>8571</v>
      </c>
      <c r="H1900" s="2" t="s">
        <v>8572</v>
      </c>
      <c r="I1900" s="2" t="s">
        <v>8572</v>
      </c>
      <c r="J1900" s="2" t="s">
        <v>8573</v>
      </c>
      <c r="K1900" s="2" t="s">
        <v>58</v>
      </c>
      <c r="L1900" s="2" t="s">
        <v>8574</v>
      </c>
      <c r="M1900" s="2" t="s">
        <v>43</v>
      </c>
      <c r="N1900" s="2" t="s">
        <v>1824</v>
      </c>
      <c r="O1900" s="2">
        <v>3</v>
      </c>
      <c r="P1900" s="2">
        <v>16</v>
      </c>
      <c r="Q1900" s="2" t="s">
        <v>46</v>
      </c>
      <c r="R1900" s="2" t="s">
        <v>47</v>
      </c>
      <c r="S1900" s="2">
        <v>0</v>
      </c>
      <c r="T1900" s="2">
        <v>0</v>
      </c>
      <c r="U1900" s="2">
        <v>0</v>
      </c>
      <c r="V1900" s="2">
        <v>0</v>
      </c>
      <c r="W1900" s="2">
        <v>11</v>
      </c>
      <c r="X1900" s="2" t="s">
        <v>8575</v>
      </c>
      <c r="Y1900" s="2">
        <v>1</v>
      </c>
      <c r="Z1900" s="2">
        <v>10</v>
      </c>
      <c r="AA1900" s="2">
        <v>5</v>
      </c>
      <c r="AB1900" s="2">
        <v>2</v>
      </c>
      <c r="AC1900" s="2">
        <v>0</v>
      </c>
      <c r="AD1900" s="2">
        <v>0</v>
      </c>
      <c r="AE1900" s="2" t="s">
        <v>0</v>
      </c>
      <c r="AF1900" s="2">
        <v>1</v>
      </c>
      <c r="AG1900" s="2" t="s">
        <v>2523</v>
      </c>
    </row>
    <row r="1901" spans="1:33" ht="51" x14ac:dyDescent="0.2">
      <c r="A1901" s="5" t="str">
        <f>HYPERLINK("http://www.patentics.cn/invokexml.do?sf=ShowPatent&amp;spn=CN101820380B&amp;sv=8de08725b0304775d6f3711beade0f9c","CN101820380B")</f>
        <v>CN101820380B</v>
      </c>
      <c r="B1901" s="3" t="s">
        <v>8576</v>
      </c>
      <c r="C1901" s="3" t="s">
        <v>8577</v>
      </c>
      <c r="D1901" s="3" t="s">
        <v>8287</v>
      </c>
      <c r="E1901" s="3" t="s">
        <v>338</v>
      </c>
      <c r="F1901" s="3" t="s">
        <v>8578</v>
      </c>
      <c r="G1901" s="3" t="s">
        <v>8579</v>
      </c>
      <c r="H1901" s="3" t="s">
        <v>5759</v>
      </c>
      <c r="I1901" s="3" t="s">
        <v>5759</v>
      </c>
      <c r="J1901" s="3" t="s">
        <v>3522</v>
      </c>
      <c r="K1901" s="3" t="s">
        <v>58</v>
      </c>
      <c r="L1901" s="3" t="s">
        <v>1236</v>
      </c>
      <c r="M1901" s="3" t="s">
        <v>0</v>
      </c>
      <c r="N1901" s="3" t="s">
        <v>0</v>
      </c>
      <c r="O1901" s="3">
        <v>2</v>
      </c>
      <c r="P1901" s="3">
        <v>18</v>
      </c>
      <c r="Q1901" s="3" t="s">
        <v>60</v>
      </c>
      <c r="R1901" s="3" t="s">
        <v>47</v>
      </c>
      <c r="S1901" s="3">
        <v>2</v>
      </c>
      <c r="T1901" s="3">
        <v>0</v>
      </c>
      <c r="U1901" s="3">
        <v>2</v>
      </c>
      <c r="V1901" s="3">
        <v>2</v>
      </c>
      <c r="W1901" s="3">
        <v>0</v>
      </c>
      <c r="X1901" s="3" t="s">
        <v>147</v>
      </c>
      <c r="Y1901" s="3">
        <v>0</v>
      </c>
      <c r="Z1901" s="3">
        <v>0</v>
      </c>
      <c r="AA1901" s="3">
        <v>0</v>
      </c>
      <c r="AB1901" s="3">
        <v>0</v>
      </c>
      <c r="AC1901" s="3">
        <v>1</v>
      </c>
      <c r="AD1901" s="3">
        <v>1</v>
      </c>
      <c r="AE1901" s="3">
        <v>14</v>
      </c>
      <c r="AF1901" s="3" t="s">
        <v>0</v>
      </c>
      <c r="AG1901" s="3" t="s">
        <v>49</v>
      </c>
    </row>
    <row r="1902" spans="1:33" ht="25.5" x14ac:dyDescent="0.2">
      <c r="A1902" s="4" t="str">
        <f>HYPERLINK("http://www.patentics.cn/invokexml.do?sf=ShowPatent&amp;spn=CN1585520&amp;sv=66f097534d1a78bc099083dce210d16a","CN1585520")</f>
        <v>CN1585520</v>
      </c>
      <c r="B1902" s="2" t="s">
        <v>8580</v>
      </c>
      <c r="C1902" s="2" t="s">
        <v>8581</v>
      </c>
      <c r="D1902" s="2" t="s">
        <v>38</v>
      </c>
      <c r="E1902" s="2" t="s">
        <v>38</v>
      </c>
      <c r="F1902" s="2" t="s">
        <v>8582</v>
      </c>
      <c r="G1902" s="2" t="s">
        <v>4010</v>
      </c>
      <c r="H1902" s="2" t="s">
        <v>8559</v>
      </c>
      <c r="I1902" s="2" t="s">
        <v>8559</v>
      </c>
      <c r="J1902" s="2" t="s">
        <v>4128</v>
      </c>
      <c r="K1902" s="2" t="s">
        <v>43</v>
      </c>
      <c r="L1902" s="2" t="s">
        <v>4012</v>
      </c>
      <c r="M1902" s="2" t="s">
        <v>270</v>
      </c>
      <c r="N1902" s="2" t="s">
        <v>8583</v>
      </c>
      <c r="O1902" s="2">
        <v>12</v>
      </c>
      <c r="P1902" s="2">
        <v>32</v>
      </c>
      <c r="Q1902" s="2" t="s">
        <v>46</v>
      </c>
      <c r="R1902" s="2" t="s">
        <v>47</v>
      </c>
      <c r="S1902" s="2">
        <v>1</v>
      </c>
      <c r="T1902" s="2">
        <v>0</v>
      </c>
      <c r="U1902" s="2">
        <v>1</v>
      </c>
      <c r="V1902" s="2">
        <v>1</v>
      </c>
      <c r="W1902" s="2">
        <v>14</v>
      </c>
      <c r="X1902" s="2" t="s">
        <v>8584</v>
      </c>
      <c r="Y1902" s="2">
        <v>4</v>
      </c>
      <c r="Z1902" s="2">
        <v>10</v>
      </c>
      <c r="AA1902" s="2">
        <v>6</v>
      </c>
      <c r="AB1902" s="2">
        <v>2</v>
      </c>
      <c r="AC1902" s="2">
        <v>2</v>
      </c>
      <c r="AD1902" s="2">
        <v>2</v>
      </c>
      <c r="AE1902" s="2" t="s">
        <v>0</v>
      </c>
      <c r="AF1902" s="2">
        <v>1</v>
      </c>
      <c r="AG1902" s="2" t="s">
        <v>49</v>
      </c>
    </row>
    <row r="1903" spans="1:33" ht="63.75" x14ac:dyDescent="0.2">
      <c r="A1903" s="5" t="str">
        <f>HYPERLINK("http://www.patentics.cn/invokexml.do?sf=ShowPatent&amp;spn=CN101390418B&amp;sv=6d186045cd5aa0a4f6eb21b13ede36e6","CN101390418B")</f>
        <v>CN101390418B</v>
      </c>
      <c r="B1903" s="3" t="s">
        <v>8585</v>
      </c>
      <c r="C1903" s="3" t="s">
        <v>8586</v>
      </c>
      <c r="D1903" s="3" t="s">
        <v>338</v>
      </c>
      <c r="E1903" s="3" t="s">
        <v>338</v>
      </c>
      <c r="F1903" s="3" t="s">
        <v>8587</v>
      </c>
      <c r="G1903" s="3" t="s">
        <v>8588</v>
      </c>
      <c r="H1903" s="3" t="s">
        <v>8589</v>
      </c>
      <c r="I1903" s="3" t="s">
        <v>8590</v>
      </c>
      <c r="J1903" s="3" t="s">
        <v>8591</v>
      </c>
      <c r="K1903" s="3" t="s">
        <v>82</v>
      </c>
      <c r="L1903" s="3" t="s">
        <v>8592</v>
      </c>
      <c r="M1903" s="3" t="s">
        <v>0</v>
      </c>
      <c r="N1903" s="3" t="s">
        <v>0</v>
      </c>
      <c r="O1903" s="3">
        <v>15</v>
      </c>
      <c r="P1903" s="3">
        <v>13</v>
      </c>
      <c r="Q1903" s="3" t="s">
        <v>60</v>
      </c>
      <c r="R1903" s="3" t="s">
        <v>61</v>
      </c>
      <c r="S1903" s="3">
        <v>5</v>
      </c>
      <c r="T1903" s="3">
        <v>2</v>
      </c>
      <c r="U1903" s="3">
        <v>3</v>
      </c>
      <c r="V1903" s="3">
        <v>4</v>
      </c>
      <c r="W1903" s="3">
        <v>0</v>
      </c>
      <c r="X1903" s="3" t="s">
        <v>147</v>
      </c>
      <c r="Y1903" s="3">
        <v>0</v>
      </c>
      <c r="Z1903" s="3">
        <v>0</v>
      </c>
      <c r="AA1903" s="3">
        <v>0</v>
      </c>
      <c r="AB1903" s="3">
        <v>0</v>
      </c>
      <c r="AC1903" s="3">
        <v>8</v>
      </c>
      <c r="AD1903" s="3">
        <v>6</v>
      </c>
      <c r="AE1903" s="3">
        <v>14</v>
      </c>
      <c r="AF1903" s="3" t="s">
        <v>0</v>
      </c>
      <c r="AG1903" s="3" t="s">
        <v>49</v>
      </c>
    </row>
    <row r="1904" spans="1:33" ht="38.25" x14ac:dyDescent="0.2">
      <c r="A1904" s="4" t="str">
        <f>HYPERLINK("http://www.patentics.cn/invokexml.do?sf=ShowPatent&amp;spn=CN1571298&amp;sv=90441c72555142a154c7d903cb799f03","CN1571298")</f>
        <v>CN1571298</v>
      </c>
      <c r="B1904" s="2" t="s">
        <v>8593</v>
      </c>
      <c r="C1904" s="2" t="s">
        <v>8594</v>
      </c>
      <c r="D1904" s="2" t="s">
        <v>38</v>
      </c>
      <c r="E1904" s="2" t="s">
        <v>38</v>
      </c>
      <c r="F1904" s="2" t="s">
        <v>8595</v>
      </c>
      <c r="G1904" s="2" t="s">
        <v>8596</v>
      </c>
      <c r="H1904" s="2" t="s">
        <v>3498</v>
      </c>
      <c r="I1904" s="2" t="s">
        <v>8597</v>
      </c>
      <c r="J1904" s="2" t="s">
        <v>8598</v>
      </c>
      <c r="K1904" s="2" t="s">
        <v>84</v>
      </c>
      <c r="L1904" s="2" t="s">
        <v>1922</v>
      </c>
      <c r="M1904" s="2" t="s">
        <v>84</v>
      </c>
      <c r="N1904" s="2" t="s">
        <v>8599</v>
      </c>
      <c r="O1904" s="2">
        <v>11</v>
      </c>
      <c r="P1904" s="2">
        <v>26</v>
      </c>
      <c r="Q1904" s="2" t="s">
        <v>46</v>
      </c>
      <c r="R1904" s="2" t="s">
        <v>47</v>
      </c>
      <c r="S1904" s="2">
        <v>1</v>
      </c>
      <c r="T1904" s="2">
        <v>0</v>
      </c>
      <c r="U1904" s="2">
        <v>1</v>
      </c>
      <c r="V1904" s="2">
        <v>1</v>
      </c>
      <c r="W1904" s="2">
        <v>8</v>
      </c>
      <c r="X1904" s="2" t="s">
        <v>7590</v>
      </c>
      <c r="Y1904" s="2">
        <v>5</v>
      </c>
      <c r="Z1904" s="2">
        <v>3</v>
      </c>
      <c r="AA1904" s="2">
        <v>4</v>
      </c>
      <c r="AB1904" s="2">
        <v>3</v>
      </c>
      <c r="AC1904" s="2">
        <v>1</v>
      </c>
      <c r="AD1904" s="2">
        <v>1</v>
      </c>
      <c r="AE1904" s="2" t="s">
        <v>0</v>
      </c>
      <c r="AF1904" s="2">
        <v>1</v>
      </c>
      <c r="AG1904" s="2" t="s">
        <v>49</v>
      </c>
    </row>
    <row r="1905" spans="1:33" ht="51" x14ac:dyDescent="0.2">
      <c r="A1905" s="5" t="str">
        <f>HYPERLINK("http://www.patentics.cn/invokexml.do?sf=ShowPatent&amp;spn=CN101513093B&amp;sv=2763c08733f26328abf61b0b3a63afa9","CN101513093B")</f>
        <v>CN101513093B</v>
      </c>
      <c r="B1905" s="3" t="s">
        <v>8600</v>
      </c>
      <c r="C1905" s="3" t="s">
        <v>8601</v>
      </c>
      <c r="D1905" s="3" t="s">
        <v>338</v>
      </c>
      <c r="E1905" s="3" t="s">
        <v>338</v>
      </c>
      <c r="F1905" s="3" t="s">
        <v>8602</v>
      </c>
      <c r="G1905" s="3" t="s">
        <v>8603</v>
      </c>
      <c r="H1905" s="3" t="s">
        <v>8604</v>
      </c>
      <c r="I1905" s="3" t="s">
        <v>8605</v>
      </c>
      <c r="J1905" s="3" t="s">
        <v>7865</v>
      </c>
      <c r="K1905" s="3" t="s">
        <v>82</v>
      </c>
      <c r="L1905" s="3" t="s">
        <v>2712</v>
      </c>
      <c r="M1905" s="3" t="s">
        <v>0</v>
      </c>
      <c r="N1905" s="3" t="s">
        <v>0</v>
      </c>
      <c r="O1905" s="3">
        <v>46</v>
      </c>
      <c r="P1905" s="3">
        <v>26</v>
      </c>
      <c r="Q1905" s="3" t="s">
        <v>60</v>
      </c>
      <c r="R1905" s="3" t="s">
        <v>61</v>
      </c>
      <c r="S1905" s="3">
        <v>4</v>
      </c>
      <c r="T1905" s="3">
        <v>0</v>
      </c>
      <c r="U1905" s="3">
        <v>4</v>
      </c>
      <c r="V1905" s="3">
        <v>4</v>
      </c>
      <c r="W1905" s="3">
        <v>0</v>
      </c>
      <c r="X1905" s="3" t="s">
        <v>147</v>
      </c>
      <c r="Y1905" s="3">
        <v>0</v>
      </c>
      <c r="Z1905" s="3">
        <v>0</v>
      </c>
      <c r="AA1905" s="3">
        <v>0</v>
      </c>
      <c r="AB1905" s="3">
        <v>0</v>
      </c>
      <c r="AC1905" s="3">
        <v>14</v>
      </c>
      <c r="AD1905" s="3">
        <v>9</v>
      </c>
      <c r="AE1905" s="3">
        <v>14</v>
      </c>
      <c r="AF1905" s="3" t="s">
        <v>0</v>
      </c>
      <c r="AG1905" s="3" t="s">
        <v>49</v>
      </c>
    </row>
    <row r="1906" spans="1:33" ht="25.5" x14ac:dyDescent="0.2">
      <c r="A1906" s="4" t="str">
        <f>HYPERLINK("http://www.patentics.cn/invokexml.do?sf=ShowPatent&amp;spn=CN1567768&amp;sv=81abfe37f6ba1b56f1e06ed73154e036","CN1567768")</f>
        <v>CN1567768</v>
      </c>
      <c r="B1906" s="2" t="s">
        <v>8606</v>
      </c>
      <c r="C1906" s="2" t="s">
        <v>8607</v>
      </c>
      <c r="D1906" s="2" t="s">
        <v>38</v>
      </c>
      <c r="E1906" s="2" t="s">
        <v>38</v>
      </c>
      <c r="F1906" s="2" t="s">
        <v>8608</v>
      </c>
      <c r="G1906" s="2" t="s">
        <v>8609</v>
      </c>
      <c r="H1906" s="2" t="s">
        <v>1823</v>
      </c>
      <c r="I1906" s="2" t="s">
        <v>1823</v>
      </c>
      <c r="J1906" s="2" t="s">
        <v>5998</v>
      </c>
      <c r="K1906" s="2" t="s">
        <v>70</v>
      </c>
      <c r="L1906" s="2" t="s">
        <v>3121</v>
      </c>
      <c r="M1906" s="2" t="s">
        <v>58</v>
      </c>
      <c r="N1906" s="2" t="s">
        <v>8610</v>
      </c>
      <c r="O1906" s="2">
        <v>8</v>
      </c>
      <c r="P1906" s="2">
        <v>14</v>
      </c>
      <c r="Q1906" s="2" t="s">
        <v>46</v>
      </c>
      <c r="R1906" s="2" t="s">
        <v>47</v>
      </c>
      <c r="S1906" s="2">
        <v>0</v>
      </c>
      <c r="T1906" s="2">
        <v>0</v>
      </c>
      <c r="U1906" s="2">
        <v>0</v>
      </c>
      <c r="V1906" s="2">
        <v>0</v>
      </c>
      <c r="W1906" s="2">
        <v>2</v>
      </c>
      <c r="X1906" s="2" t="s">
        <v>4059</v>
      </c>
      <c r="Y1906" s="2">
        <v>0</v>
      </c>
      <c r="Z1906" s="2">
        <v>2</v>
      </c>
      <c r="AA1906" s="2">
        <v>2</v>
      </c>
      <c r="AB1906" s="2">
        <v>1</v>
      </c>
      <c r="AC1906" s="2">
        <v>1</v>
      </c>
      <c r="AD1906" s="2">
        <v>1</v>
      </c>
      <c r="AE1906" s="2" t="s">
        <v>0</v>
      </c>
      <c r="AF1906" s="2">
        <v>1</v>
      </c>
      <c r="AG1906" s="2" t="s">
        <v>49</v>
      </c>
    </row>
    <row r="1907" spans="1:33" ht="51" x14ac:dyDescent="0.2">
      <c r="A1907" s="5" t="str">
        <f>HYPERLINK("http://www.patentics.cn/invokexml.do?sf=ShowPatent&amp;spn=CN102754095B&amp;sv=8d85e6ffcf899a2875f00172f3f5d164","CN102754095B")</f>
        <v>CN102754095B</v>
      </c>
      <c r="B1907" s="3" t="s">
        <v>8611</v>
      </c>
      <c r="C1907" s="3" t="s">
        <v>8612</v>
      </c>
      <c r="D1907" s="3" t="s">
        <v>338</v>
      </c>
      <c r="E1907" s="3" t="s">
        <v>338</v>
      </c>
      <c r="F1907" s="3" t="s">
        <v>8613</v>
      </c>
      <c r="G1907" s="3" t="s">
        <v>8614</v>
      </c>
      <c r="H1907" s="3" t="s">
        <v>8615</v>
      </c>
      <c r="I1907" s="3" t="s">
        <v>3319</v>
      </c>
      <c r="J1907" s="3" t="s">
        <v>8616</v>
      </c>
      <c r="K1907" s="3" t="s">
        <v>555</v>
      </c>
      <c r="L1907" s="3" t="s">
        <v>8617</v>
      </c>
      <c r="M1907" s="3" t="s">
        <v>0</v>
      </c>
      <c r="N1907" s="3" t="s">
        <v>0</v>
      </c>
      <c r="O1907" s="3">
        <v>30</v>
      </c>
      <c r="P1907" s="3">
        <v>29</v>
      </c>
      <c r="Q1907" s="3" t="s">
        <v>60</v>
      </c>
      <c r="R1907" s="3" t="s">
        <v>61</v>
      </c>
      <c r="S1907" s="3">
        <v>5</v>
      </c>
      <c r="T1907" s="3">
        <v>1</v>
      </c>
      <c r="U1907" s="3">
        <v>4</v>
      </c>
      <c r="V1907" s="3">
        <v>3</v>
      </c>
      <c r="W1907" s="3">
        <v>0</v>
      </c>
      <c r="X1907" s="3" t="s">
        <v>147</v>
      </c>
      <c r="Y1907" s="3">
        <v>0</v>
      </c>
      <c r="Z1907" s="3">
        <v>0</v>
      </c>
      <c r="AA1907" s="3">
        <v>0</v>
      </c>
      <c r="AB1907" s="3">
        <v>0</v>
      </c>
      <c r="AC1907" s="3">
        <v>0</v>
      </c>
      <c r="AD1907" s="3">
        <v>0</v>
      </c>
      <c r="AE1907" s="3">
        <v>14</v>
      </c>
      <c r="AF1907" s="3" t="s">
        <v>0</v>
      </c>
      <c r="AG1907" s="3" t="s">
        <v>49</v>
      </c>
    </row>
    <row r="1908" spans="1:33" ht="38.25" x14ac:dyDescent="0.2">
      <c r="A1908" s="4" t="str">
        <f>HYPERLINK("http://www.patentics.cn/invokexml.do?sf=ShowPatent&amp;spn=CN1561041&amp;sv=3a8d51717b443679284913b2f2ebd1f7","CN1561041")</f>
        <v>CN1561041</v>
      </c>
      <c r="B1908" s="2" t="s">
        <v>8618</v>
      </c>
      <c r="C1908" s="2" t="s">
        <v>8619</v>
      </c>
      <c r="D1908" s="2" t="s">
        <v>38</v>
      </c>
      <c r="E1908" s="2" t="s">
        <v>38</v>
      </c>
      <c r="F1908" s="2" t="s">
        <v>8620</v>
      </c>
      <c r="G1908" s="2" t="s">
        <v>8621</v>
      </c>
      <c r="H1908" s="2" t="s">
        <v>8622</v>
      </c>
      <c r="I1908" s="2" t="s">
        <v>8623</v>
      </c>
      <c r="J1908" s="2" t="s">
        <v>8624</v>
      </c>
      <c r="K1908" s="2" t="s">
        <v>58</v>
      </c>
      <c r="L1908" s="2" t="s">
        <v>289</v>
      </c>
      <c r="M1908" s="2" t="s">
        <v>58</v>
      </c>
      <c r="N1908" s="2" t="s">
        <v>6017</v>
      </c>
      <c r="O1908" s="2">
        <v>10</v>
      </c>
      <c r="P1908" s="2">
        <v>27</v>
      </c>
      <c r="Q1908" s="2" t="s">
        <v>46</v>
      </c>
      <c r="R1908" s="2" t="s">
        <v>47</v>
      </c>
      <c r="S1908" s="2">
        <v>0</v>
      </c>
      <c r="T1908" s="2">
        <v>0</v>
      </c>
      <c r="U1908" s="2">
        <v>0</v>
      </c>
      <c r="V1908" s="2">
        <v>0</v>
      </c>
      <c r="W1908" s="2">
        <v>3</v>
      </c>
      <c r="X1908" s="2" t="s">
        <v>8625</v>
      </c>
      <c r="Y1908" s="2">
        <v>0</v>
      </c>
      <c r="Z1908" s="2">
        <v>3</v>
      </c>
      <c r="AA1908" s="2">
        <v>2</v>
      </c>
      <c r="AB1908" s="2">
        <v>2</v>
      </c>
      <c r="AC1908" s="2">
        <v>0</v>
      </c>
      <c r="AD1908" s="2">
        <v>0</v>
      </c>
      <c r="AE1908" s="2" t="s">
        <v>0</v>
      </c>
      <c r="AF1908" s="2">
        <v>1</v>
      </c>
      <c r="AG1908" s="2" t="s">
        <v>2523</v>
      </c>
    </row>
    <row r="1909" spans="1:33" ht="114.75" x14ac:dyDescent="0.2">
      <c r="A1909" s="5" t="str">
        <f>HYPERLINK("http://www.patentics.cn/invokexml.do?sf=ShowPatent&amp;spn=CN101228806B&amp;sv=3c894e915209a0d64cce086ed83249da","CN101228806B")</f>
        <v>CN101228806B</v>
      </c>
      <c r="B1909" s="3" t="s">
        <v>8626</v>
      </c>
      <c r="C1909" s="3" t="s">
        <v>8627</v>
      </c>
      <c r="D1909" s="3" t="s">
        <v>338</v>
      </c>
      <c r="E1909" s="3" t="s">
        <v>338</v>
      </c>
      <c r="F1909" s="3" t="s">
        <v>8628</v>
      </c>
      <c r="G1909" s="3" t="s">
        <v>8629</v>
      </c>
      <c r="H1909" s="3" t="s">
        <v>91</v>
      </c>
      <c r="I1909" s="3" t="s">
        <v>8630</v>
      </c>
      <c r="J1909" s="3" t="s">
        <v>8631</v>
      </c>
      <c r="K1909" s="3" t="s">
        <v>82</v>
      </c>
      <c r="L1909" s="3" t="s">
        <v>3228</v>
      </c>
      <c r="M1909" s="3" t="s">
        <v>0</v>
      </c>
      <c r="N1909" s="3" t="s">
        <v>0</v>
      </c>
      <c r="O1909" s="3">
        <v>31</v>
      </c>
      <c r="P1909" s="3">
        <v>20</v>
      </c>
      <c r="Q1909" s="3" t="s">
        <v>60</v>
      </c>
      <c r="R1909" s="3" t="s">
        <v>61</v>
      </c>
      <c r="S1909" s="3">
        <v>4</v>
      </c>
      <c r="T1909" s="3">
        <v>0</v>
      </c>
      <c r="U1909" s="3">
        <v>4</v>
      </c>
      <c r="V1909" s="3">
        <v>4</v>
      </c>
      <c r="W1909" s="3">
        <v>0</v>
      </c>
      <c r="X1909" s="3" t="s">
        <v>147</v>
      </c>
      <c r="Y1909" s="3">
        <v>0</v>
      </c>
      <c r="Z1909" s="3">
        <v>0</v>
      </c>
      <c r="AA1909" s="3">
        <v>0</v>
      </c>
      <c r="AB1909" s="3">
        <v>0</v>
      </c>
      <c r="AC1909" s="3">
        <v>22</v>
      </c>
      <c r="AD1909" s="3">
        <v>9</v>
      </c>
      <c r="AE1909" s="3">
        <v>14</v>
      </c>
      <c r="AF1909" s="3" t="s">
        <v>0</v>
      </c>
      <c r="AG1909" s="3" t="s">
        <v>49</v>
      </c>
    </row>
    <row r="1910" spans="1:33" ht="76.5" x14ac:dyDescent="0.2">
      <c r="A1910" s="4" t="str">
        <f>HYPERLINK("http://www.patentics.cn/invokexml.do?sf=ShowPatent&amp;spn=CN1558686&amp;sv=a14d6eae2b3e1413fa0a3c61676635c7","CN1558686")</f>
        <v>CN1558686</v>
      </c>
      <c r="B1910" s="2" t="s">
        <v>8632</v>
      </c>
      <c r="C1910" s="2" t="s">
        <v>8633</v>
      </c>
      <c r="D1910" s="2" t="s">
        <v>38</v>
      </c>
      <c r="E1910" s="2" t="s">
        <v>38</v>
      </c>
      <c r="F1910" s="2" t="s">
        <v>8634</v>
      </c>
      <c r="G1910" s="2" t="s">
        <v>8635</v>
      </c>
      <c r="H1910" s="2" t="s">
        <v>8636</v>
      </c>
      <c r="I1910" s="2" t="s">
        <v>8636</v>
      </c>
      <c r="J1910" s="2" t="s">
        <v>8637</v>
      </c>
      <c r="K1910" s="2" t="s">
        <v>43</v>
      </c>
      <c r="L1910" s="2" t="s">
        <v>377</v>
      </c>
      <c r="M1910" s="2" t="s">
        <v>8638</v>
      </c>
      <c r="N1910" s="2" t="s">
        <v>8639</v>
      </c>
      <c r="O1910" s="2">
        <v>10</v>
      </c>
      <c r="P1910" s="2">
        <v>30</v>
      </c>
      <c r="Q1910" s="2" t="s">
        <v>46</v>
      </c>
      <c r="R1910" s="2" t="s">
        <v>47</v>
      </c>
      <c r="S1910" s="2">
        <v>0</v>
      </c>
      <c r="T1910" s="2">
        <v>0</v>
      </c>
      <c r="U1910" s="2">
        <v>0</v>
      </c>
      <c r="V1910" s="2">
        <v>0</v>
      </c>
      <c r="W1910" s="2">
        <v>2</v>
      </c>
      <c r="X1910" s="2" t="s">
        <v>2388</v>
      </c>
      <c r="Y1910" s="2">
        <v>1</v>
      </c>
      <c r="Z1910" s="2">
        <v>1</v>
      </c>
      <c r="AA1910" s="2">
        <v>2</v>
      </c>
      <c r="AB1910" s="2">
        <v>1</v>
      </c>
      <c r="AC1910" s="2">
        <v>1</v>
      </c>
      <c r="AD1910" s="2">
        <v>1</v>
      </c>
      <c r="AE1910" s="2" t="s">
        <v>0</v>
      </c>
      <c r="AF1910" s="2">
        <v>1</v>
      </c>
      <c r="AG1910" s="2" t="s">
        <v>49</v>
      </c>
    </row>
    <row r="1911" spans="1:33" ht="76.5" x14ac:dyDescent="0.2">
      <c r="A1911" s="5" t="str">
        <f>HYPERLINK("http://www.patentics.cn/invokexml.do?sf=ShowPatent&amp;spn=CN101167390B&amp;sv=356da1608313b84ab1eca6ec800a9670","CN101167390B")</f>
        <v>CN101167390B</v>
      </c>
      <c r="B1911" s="3" t="s">
        <v>8640</v>
      </c>
      <c r="C1911" s="3" t="s">
        <v>8641</v>
      </c>
      <c r="D1911" s="3" t="s">
        <v>338</v>
      </c>
      <c r="E1911" s="3" t="s">
        <v>338</v>
      </c>
      <c r="F1911" s="3" t="s">
        <v>8642</v>
      </c>
      <c r="G1911" s="3" t="s">
        <v>8643</v>
      </c>
      <c r="H1911" s="3" t="s">
        <v>8644</v>
      </c>
      <c r="I1911" s="3" t="s">
        <v>8645</v>
      </c>
      <c r="J1911" s="3" t="s">
        <v>7459</v>
      </c>
      <c r="K1911" s="3" t="s">
        <v>82</v>
      </c>
      <c r="L1911" s="3" t="s">
        <v>8646</v>
      </c>
      <c r="M1911" s="3" t="s">
        <v>0</v>
      </c>
      <c r="N1911" s="3" t="s">
        <v>0</v>
      </c>
      <c r="O1911" s="3">
        <v>38</v>
      </c>
      <c r="P1911" s="3">
        <v>13</v>
      </c>
      <c r="Q1911" s="3" t="s">
        <v>60</v>
      </c>
      <c r="R1911" s="3" t="s">
        <v>61</v>
      </c>
      <c r="S1911" s="3">
        <v>7</v>
      </c>
      <c r="T1911" s="3">
        <v>1</v>
      </c>
      <c r="U1911" s="3">
        <v>6</v>
      </c>
      <c r="V1911" s="3">
        <v>5</v>
      </c>
      <c r="W1911" s="3">
        <v>0</v>
      </c>
      <c r="X1911" s="3" t="s">
        <v>147</v>
      </c>
      <c r="Y1911" s="3">
        <v>0</v>
      </c>
      <c r="Z1911" s="3">
        <v>0</v>
      </c>
      <c r="AA1911" s="3">
        <v>0</v>
      </c>
      <c r="AB1911" s="3">
        <v>0</v>
      </c>
      <c r="AC1911" s="3">
        <v>15</v>
      </c>
      <c r="AD1911" s="3">
        <v>10</v>
      </c>
      <c r="AE1911" s="3">
        <v>14</v>
      </c>
      <c r="AF1911" s="3" t="s">
        <v>0</v>
      </c>
      <c r="AG1911" s="3" t="s">
        <v>49</v>
      </c>
    </row>
    <row r="1912" spans="1:33" ht="25.5" x14ac:dyDescent="0.2">
      <c r="A1912" s="4" t="str">
        <f>HYPERLINK("http://www.patentics.cn/invokexml.do?sf=ShowPatent&amp;spn=CN1556603&amp;sv=c4fec9e900da0bbe5bcf6cad2a504e90","CN1556603")</f>
        <v>CN1556603</v>
      </c>
      <c r="B1912" s="2" t="s">
        <v>8647</v>
      </c>
      <c r="C1912" s="2" t="s">
        <v>8648</v>
      </c>
      <c r="D1912" s="2" t="s">
        <v>38</v>
      </c>
      <c r="E1912" s="2" t="s">
        <v>38</v>
      </c>
      <c r="F1912" s="2" t="s">
        <v>8649</v>
      </c>
      <c r="G1912" s="2" t="s">
        <v>8650</v>
      </c>
      <c r="H1912" s="2" t="s">
        <v>8651</v>
      </c>
      <c r="I1912" s="2" t="s">
        <v>8652</v>
      </c>
      <c r="J1912" s="2" t="s">
        <v>233</v>
      </c>
      <c r="K1912" s="2" t="s">
        <v>58</v>
      </c>
      <c r="L1912" s="2" t="s">
        <v>8653</v>
      </c>
      <c r="M1912" s="2" t="s">
        <v>58</v>
      </c>
      <c r="N1912" s="2" t="s">
        <v>8654</v>
      </c>
      <c r="O1912" s="2">
        <v>7</v>
      </c>
      <c r="P1912" s="2">
        <v>13</v>
      </c>
      <c r="Q1912" s="2" t="s">
        <v>46</v>
      </c>
      <c r="R1912" s="2" t="s">
        <v>47</v>
      </c>
      <c r="S1912" s="2">
        <v>0</v>
      </c>
      <c r="T1912" s="2">
        <v>0</v>
      </c>
      <c r="U1912" s="2">
        <v>0</v>
      </c>
      <c r="V1912" s="2">
        <v>0</v>
      </c>
      <c r="W1912" s="2">
        <v>4</v>
      </c>
      <c r="X1912" s="2" t="s">
        <v>7512</v>
      </c>
      <c r="Y1912" s="2">
        <v>1</v>
      </c>
      <c r="Z1912" s="2">
        <v>3</v>
      </c>
      <c r="AA1912" s="2">
        <v>4</v>
      </c>
      <c r="AB1912" s="2">
        <v>1</v>
      </c>
      <c r="AC1912" s="2">
        <v>1</v>
      </c>
      <c r="AD1912" s="2">
        <v>1</v>
      </c>
      <c r="AE1912" s="2" t="s">
        <v>0</v>
      </c>
      <c r="AF1912" s="2">
        <v>1</v>
      </c>
      <c r="AG1912" s="2" t="s">
        <v>755</v>
      </c>
    </row>
    <row r="1913" spans="1:33" ht="51" x14ac:dyDescent="0.2">
      <c r="A1913" s="5" t="str">
        <f>HYPERLINK("http://www.patentics.cn/invokexml.do?sf=ShowPatent&amp;spn=CN101911493B&amp;sv=798dc66ec1c7608a7a7ee19f85e5c34f","CN101911493B")</f>
        <v>CN101911493B</v>
      </c>
      <c r="B1913" s="3" t="s">
        <v>8655</v>
      </c>
      <c r="C1913" s="3" t="s">
        <v>8656</v>
      </c>
      <c r="D1913" s="3" t="s">
        <v>338</v>
      </c>
      <c r="E1913" s="3" t="s">
        <v>338</v>
      </c>
      <c r="F1913" s="3" t="s">
        <v>8657</v>
      </c>
      <c r="G1913" s="3" t="s">
        <v>8658</v>
      </c>
      <c r="H1913" s="3" t="s">
        <v>1342</v>
      </c>
      <c r="I1913" s="3" t="s">
        <v>3444</v>
      </c>
      <c r="J1913" s="3" t="s">
        <v>4464</v>
      </c>
      <c r="K1913" s="3" t="s">
        <v>58</v>
      </c>
      <c r="L1913" s="3" t="s">
        <v>8659</v>
      </c>
      <c r="M1913" s="3" t="s">
        <v>0</v>
      </c>
      <c r="N1913" s="3" t="s">
        <v>0</v>
      </c>
      <c r="O1913" s="3">
        <v>20</v>
      </c>
      <c r="P1913" s="3">
        <v>11</v>
      </c>
      <c r="Q1913" s="3" t="s">
        <v>60</v>
      </c>
      <c r="R1913" s="3" t="s">
        <v>61</v>
      </c>
      <c r="S1913" s="3">
        <v>4</v>
      </c>
      <c r="T1913" s="3">
        <v>1</v>
      </c>
      <c r="U1913" s="3">
        <v>3</v>
      </c>
      <c r="V1913" s="3">
        <v>4</v>
      </c>
      <c r="W1913" s="3">
        <v>0</v>
      </c>
      <c r="X1913" s="3" t="s">
        <v>147</v>
      </c>
      <c r="Y1913" s="3">
        <v>0</v>
      </c>
      <c r="Z1913" s="3">
        <v>0</v>
      </c>
      <c r="AA1913" s="3">
        <v>0</v>
      </c>
      <c r="AB1913" s="3">
        <v>0</v>
      </c>
      <c r="AC1913" s="3">
        <v>10</v>
      </c>
      <c r="AD1913" s="3">
        <v>7</v>
      </c>
      <c r="AE1913" s="3">
        <v>14</v>
      </c>
      <c r="AF1913" s="3" t="s">
        <v>0</v>
      </c>
      <c r="AG1913" s="3" t="s">
        <v>49</v>
      </c>
    </row>
    <row r="1914" spans="1:33" ht="25.5" x14ac:dyDescent="0.2">
      <c r="A1914" s="4" t="str">
        <f>HYPERLINK("http://www.patentics.cn/invokexml.do?sf=ShowPatent&amp;spn=CN1553717&amp;sv=bdb7e226f7f9d6bb9b6eede3aff7aa89","CN1553717")</f>
        <v>CN1553717</v>
      </c>
      <c r="B1914" s="2" t="s">
        <v>8660</v>
      </c>
      <c r="C1914" s="2" t="s">
        <v>8661</v>
      </c>
      <c r="D1914" s="2" t="s">
        <v>8662</v>
      </c>
      <c r="E1914" s="2" t="s">
        <v>38</v>
      </c>
      <c r="F1914" s="2" t="s">
        <v>8663</v>
      </c>
      <c r="G1914" s="2" t="s">
        <v>8664</v>
      </c>
      <c r="H1914" s="2" t="s">
        <v>8665</v>
      </c>
      <c r="I1914" s="2" t="s">
        <v>8665</v>
      </c>
      <c r="J1914" s="2" t="s">
        <v>6030</v>
      </c>
      <c r="K1914" s="2" t="s">
        <v>43</v>
      </c>
      <c r="L1914" s="2" t="s">
        <v>377</v>
      </c>
      <c r="M1914" s="2" t="s">
        <v>43</v>
      </c>
      <c r="N1914" s="2" t="s">
        <v>8666</v>
      </c>
      <c r="O1914" s="2">
        <v>4</v>
      </c>
      <c r="P1914" s="2">
        <v>10</v>
      </c>
      <c r="Q1914" s="2" t="s">
        <v>46</v>
      </c>
      <c r="R1914" s="2" t="s">
        <v>47</v>
      </c>
      <c r="S1914" s="2">
        <v>0</v>
      </c>
      <c r="T1914" s="2">
        <v>0</v>
      </c>
      <c r="U1914" s="2">
        <v>0</v>
      </c>
      <c r="V1914" s="2">
        <v>0</v>
      </c>
      <c r="W1914" s="2">
        <v>7</v>
      </c>
      <c r="X1914" s="2" t="s">
        <v>8667</v>
      </c>
      <c r="Y1914" s="2">
        <v>0</v>
      </c>
      <c r="Z1914" s="2">
        <v>7</v>
      </c>
      <c r="AA1914" s="2">
        <v>4</v>
      </c>
      <c r="AB1914" s="2">
        <v>3</v>
      </c>
      <c r="AC1914" s="2">
        <v>1</v>
      </c>
      <c r="AD1914" s="2">
        <v>1</v>
      </c>
      <c r="AE1914" s="2" t="s">
        <v>0</v>
      </c>
      <c r="AF1914" s="2">
        <v>1</v>
      </c>
      <c r="AG1914" s="2" t="s">
        <v>49</v>
      </c>
    </row>
    <row r="1915" spans="1:33" ht="38.25" x14ac:dyDescent="0.2">
      <c r="A1915" s="5" t="str">
        <f>HYPERLINK("http://www.patentics.cn/invokexml.do?sf=ShowPatent&amp;spn=CN101253720B&amp;sv=97a894dcda64a124b78e855a4270b951","CN101253720B")</f>
        <v>CN101253720B</v>
      </c>
      <c r="B1915" s="3" t="s">
        <v>8668</v>
      </c>
      <c r="C1915" s="3" t="s">
        <v>8669</v>
      </c>
      <c r="D1915" s="3" t="s">
        <v>338</v>
      </c>
      <c r="E1915" s="3" t="s">
        <v>338</v>
      </c>
      <c r="F1915" s="3" t="s">
        <v>8670</v>
      </c>
      <c r="G1915" s="3" t="s">
        <v>8671</v>
      </c>
      <c r="H1915" s="3" t="s">
        <v>8672</v>
      </c>
      <c r="I1915" s="3" t="s">
        <v>5969</v>
      </c>
      <c r="J1915" s="3" t="s">
        <v>2053</v>
      </c>
      <c r="K1915" s="3" t="s">
        <v>70</v>
      </c>
      <c r="L1915" s="3" t="s">
        <v>2540</v>
      </c>
      <c r="M1915" s="3" t="s">
        <v>0</v>
      </c>
      <c r="N1915" s="3" t="s">
        <v>0</v>
      </c>
      <c r="O1915" s="3">
        <v>5</v>
      </c>
      <c r="P1915" s="3">
        <v>22</v>
      </c>
      <c r="Q1915" s="3" t="s">
        <v>60</v>
      </c>
      <c r="R1915" s="3" t="s">
        <v>61</v>
      </c>
      <c r="S1915" s="3">
        <v>4</v>
      </c>
      <c r="T1915" s="3">
        <v>0</v>
      </c>
      <c r="U1915" s="3">
        <v>4</v>
      </c>
      <c r="V1915" s="3">
        <v>4</v>
      </c>
      <c r="W1915" s="3">
        <v>0</v>
      </c>
      <c r="X1915" s="3" t="s">
        <v>147</v>
      </c>
      <c r="Y1915" s="3">
        <v>0</v>
      </c>
      <c r="Z1915" s="3">
        <v>0</v>
      </c>
      <c r="AA1915" s="3">
        <v>0</v>
      </c>
      <c r="AB1915" s="3">
        <v>0</v>
      </c>
      <c r="AC1915" s="3">
        <v>11</v>
      </c>
      <c r="AD1915" s="3">
        <v>6</v>
      </c>
      <c r="AE1915" s="3">
        <v>14</v>
      </c>
      <c r="AF1915" s="3" t="s">
        <v>0</v>
      </c>
      <c r="AG1915" s="3" t="s">
        <v>49</v>
      </c>
    </row>
    <row r="1916" spans="1:33" ht="25.5" x14ac:dyDescent="0.2">
      <c r="A1916" s="4" t="str">
        <f>HYPERLINK("http://www.patentics.cn/invokexml.do?sf=ShowPatent&amp;spn=CN1553667&amp;sv=5322d9969ac8ea41e87d0e52a42d3709","CN1553667")</f>
        <v>CN1553667</v>
      </c>
      <c r="B1916" s="2" t="s">
        <v>8673</v>
      </c>
      <c r="C1916" s="2" t="s">
        <v>8674</v>
      </c>
      <c r="D1916" s="2" t="s">
        <v>38</v>
      </c>
      <c r="E1916" s="2" t="s">
        <v>38</v>
      </c>
      <c r="F1916" s="2" t="s">
        <v>8675</v>
      </c>
      <c r="G1916" s="2" t="s">
        <v>8676</v>
      </c>
      <c r="H1916" s="2" t="s">
        <v>6029</v>
      </c>
      <c r="I1916" s="2" t="s">
        <v>6029</v>
      </c>
      <c r="J1916" s="2" t="s">
        <v>6030</v>
      </c>
      <c r="K1916" s="2" t="s">
        <v>58</v>
      </c>
      <c r="L1916" s="2" t="s">
        <v>1784</v>
      </c>
      <c r="M1916" s="2" t="s">
        <v>58</v>
      </c>
      <c r="N1916" s="2" t="s">
        <v>3991</v>
      </c>
      <c r="O1916" s="2">
        <v>7</v>
      </c>
      <c r="P1916" s="2">
        <v>25</v>
      </c>
      <c r="Q1916" s="2" t="s">
        <v>46</v>
      </c>
      <c r="R1916" s="2" t="s">
        <v>47</v>
      </c>
      <c r="S1916" s="2">
        <v>0</v>
      </c>
      <c r="T1916" s="2">
        <v>0</v>
      </c>
      <c r="U1916" s="2">
        <v>0</v>
      </c>
      <c r="V1916" s="2">
        <v>0</v>
      </c>
      <c r="W1916" s="2">
        <v>8</v>
      </c>
      <c r="X1916" s="2" t="s">
        <v>8677</v>
      </c>
      <c r="Y1916" s="2">
        <v>0</v>
      </c>
      <c r="Z1916" s="2">
        <v>8</v>
      </c>
      <c r="AA1916" s="2">
        <v>4</v>
      </c>
      <c r="AB1916" s="2">
        <v>2</v>
      </c>
      <c r="AC1916" s="2">
        <v>1</v>
      </c>
      <c r="AD1916" s="2">
        <v>1</v>
      </c>
      <c r="AE1916" s="2" t="s">
        <v>0</v>
      </c>
      <c r="AF1916" s="2">
        <v>1</v>
      </c>
      <c r="AG1916" s="2" t="s">
        <v>755</v>
      </c>
    </row>
    <row r="1917" spans="1:33" ht="76.5" x14ac:dyDescent="0.2">
      <c r="A1917" s="5" t="str">
        <f>HYPERLINK("http://www.patentics.cn/invokexml.do?sf=ShowPatent&amp;spn=CN101964826B&amp;sv=b63ea065c60f1e9a342cc000f5fd6a9c","CN101964826B")</f>
        <v>CN101964826B</v>
      </c>
      <c r="B1917" s="3" t="s">
        <v>8678</v>
      </c>
      <c r="C1917" s="3" t="s">
        <v>8679</v>
      </c>
      <c r="D1917" s="3" t="s">
        <v>338</v>
      </c>
      <c r="E1917" s="3" t="s">
        <v>338</v>
      </c>
      <c r="F1917" s="3" t="s">
        <v>8680</v>
      </c>
      <c r="G1917" s="3" t="s">
        <v>8629</v>
      </c>
      <c r="H1917" s="3" t="s">
        <v>6958</v>
      </c>
      <c r="I1917" s="3" t="s">
        <v>3300</v>
      </c>
      <c r="J1917" s="3" t="s">
        <v>2697</v>
      </c>
      <c r="K1917" s="3" t="s">
        <v>58</v>
      </c>
      <c r="L1917" s="3" t="s">
        <v>4145</v>
      </c>
      <c r="M1917" s="3" t="s">
        <v>0</v>
      </c>
      <c r="N1917" s="3" t="s">
        <v>0</v>
      </c>
      <c r="O1917" s="3">
        <v>13</v>
      </c>
      <c r="P1917" s="3">
        <v>17</v>
      </c>
      <c r="Q1917" s="3" t="s">
        <v>60</v>
      </c>
      <c r="R1917" s="3" t="s">
        <v>61</v>
      </c>
      <c r="S1917" s="3">
        <v>4</v>
      </c>
      <c r="T1917" s="3">
        <v>1</v>
      </c>
      <c r="U1917" s="3">
        <v>3</v>
      </c>
      <c r="V1917" s="3">
        <v>3</v>
      </c>
      <c r="W1917" s="3">
        <v>0</v>
      </c>
      <c r="X1917" s="3" t="s">
        <v>147</v>
      </c>
      <c r="Y1917" s="3">
        <v>0</v>
      </c>
      <c r="Z1917" s="3">
        <v>0</v>
      </c>
      <c r="AA1917" s="3">
        <v>0</v>
      </c>
      <c r="AB1917" s="3">
        <v>0</v>
      </c>
      <c r="AC1917" s="3">
        <v>13</v>
      </c>
      <c r="AD1917" s="3">
        <v>6</v>
      </c>
      <c r="AE1917" s="3">
        <v>14</v>
      </c>
      <c r="AF1917" s="3" t="s">
        <v>0</v>
      </c>
      <c r="AG1917" s="3" t="s">
        <v>49</v>
      </c>
    </row>
    <row r="1918" spans="1:33" ht="38.25" x14ac:dyDescent="0.2">
      <c r="A1918" s="4" t="str">
        <f>HYPERLINK("http://www.patentics.cn/invokexml.do?sf=ShowPatent&amp;spn=CN1553659&amp;sv=c1bb47e46d3df6373ab2e4f9e7494c7a","CN1553659")</f>
        <v>CN1553659</v>
      </c>
      <c r="B1918" s="2" t="s">
        <v>8681</v>
      </c>
      <c r="C1918" s="2" t="s">
        <v>8682</v>
      </c>
      <c r="D1918" s="2" t="s">
        <v>38</v>
      </c>
      <c r="E1918" s="2" t="s">
        <v>38</v>
      </c>
      <c r="F1918" s="2" t="s">
        <v>8683</v>
      </c>
      <c r="G1918" s="2" t="s">
        <v>8676</v>
      </c>
      <c r="H1918" s="2" t="s">
        <v>0</v>
      </c>
      <c r="I1918" s="2" t="s">
        <v>6029</v>
      </c>
      <c r="J1918" s="2" t="s">
        <v>6030</v>
      </c>
      <c r="K1918" s="2" t="s">
        <v>58</v>
      </c>
      <c r="L1918" s="2" t="s">
        <v>1236</v>
      </c>
      <c r="M1918" s="2" t="s">
        <v>58</v>
      </c>
      <c r="N1918" s="2" t="s">
        <v>6017</v>
      </c>
      <c r="O1918" s="2">
        <v>7</v>
      </c>
      <c r="P1918" s="2">
        <v>24</v>
      </c>
      <c r="Q1918" s="2" t="s">
        <v>46</v>
      </c>
      <c r="R1918" s="2" t="s">
        <v>47</v>
      </c>
      <c r="S1918" s="2">
        <v>0</v>
      </c>
      <c r="T1918" s="2">
        <v>0</v>
      </c>
      <c r="U1918" s="2">
        <v>0</v>
      </c>
      <c r="V1918" s="2">
        <v>0</v>
      </c>
      <c r="W1918" s="2">
        <v>7</v>
      </c>
      <c r="X1918" s="2" t="s">
        <v>8684</v>
      </c>
      <c r="Y1918" s="2">
        <v>3</v>
      </c>
      <c r="Z1918" s="2">
        <v>4</v>
      </c>
      <c r="AA1918" s="2">
        <v>4</v>
      </c>
      <c r="AB1918" s="2">
        <v>2</v>
      </c>
      <c r="AC1918" s="2">
        <v>0</v>
      </c>
      <c r="AD1918" s="2">
        <v>0</v>
      </c>
      <c r="AE1918" s="2" t="s">
        <v>0</v>
      </c>
      <c r="AF1918" s="2">
        <v>1</v>
      </c>
      <c r="AG1918" s="2" t="s">
        <v>547</v>
      </c>
    </row>
    <row r="1919" spans="1:33" ht="76.5" x14ac:dyDescent="0.2">
      <c r="A1919" s="5" t="str">
        <f>HYPERLINK("http://www.patentics.cn/invokexml.do?sf=ShowPatent&amp;spn=CN101964826B&amp;sv=b63ea065c60f1e9a342cc000f5fd6a9c","CN101964826B")</f>
        <v>CN101964826B</v>
      </c>
      <c r="B1919" s="3" t="s">
        <v>8678</v>
      </c>
      <c r="C1919" s="3" t="s">
        <v>8679</v>
      </c>
      <c r="D1919" s="3" t="s">
        <v>338</v>
      </c>
      <c r="E1919" s="3" t="s">
        <v>338</v>
      </c>
      <c r="F1919" s="3" t="s">
        <v>8680</v>
      </c>
      <c r="G1919" s="3" t="s">
        <v>8629</v>
      </c>
      <c r="H1919" s="3" t="s">
        <v>6958</v>
      </c>
      <c r="I1919" s="3" t="s">
        <v>3300</v>
      </c>
      <c r="J1919" s="3" t="s">
        <v>2697</v>
      </c>
      <c r="K1919" s="3" t="s">
        <v>58</v>
      </c>
      <c r="L1919" s="3" t="s">
        <v>4145</v>
      </c>
      <c r="M1919" s="3" t="s">
        <v>0</v>
      </c>
      <c r="N1919" s="3" t="s">
        <v>0</v>
      </c>
      <c r="O1919" s="3">
        <v>13</v>
      </c>
      <c r="P1919" s="3">
        <v>17</v>
      </c>
      <c r="Q1919" s="3" t="s">
        <v>60</v>
      </c>
      <c r="R1919" s="3" t="s">
        <v>61</v>
      </c>
      <c r="S1919" s="3">
        <v>4</v>
      </c>
      <c r="T1919" s="3">
        <v>1</v>
      </c>
      <c r="U1919" s="3">
        <v>3</v>
      </c>
      <c r="V1919" s="3">
        <v>3</v>
      </c>
      <c r="W1919" s="3">
        <v>0</v>
      </c>
      <c r="X1919" s="3" t="s">
        <v>147</v>
      </c>
      <c r="Y1919" s="3">
        <v>0</v>
      </c>
      <c r="Z1919" s="3">
        <v>0</v>
      </c>
      <c r="AA1919" s="3">
        <v>0</v>
      </c>
      <c r="AB1919" s="3">
        <v>0</v>
      </c>
      <c r="AC1919" s="3">
        <v>13</v>
      </c>
      <c r="AD1919" s="3">
        <v>6</v>
      </c>
      <c r="AE1919" s="3">
        <v>14</v>
      </c>
      <c r="AF1919" s="3" t="s">
        <v>0</v>
      </c>
      <c r="AG1919" s="3" t="s">
        <v>49</v>
      </c>
    </row>
    <row r="1920" spans="1:33" ht="25.5" x14ac:dyDescent="0.2">
      <c r="A1920" s="4" t="str">
        <f>HYPERLINK("http://www.patentics.cn/invokexml.do?sf=ShowPatent&amp;spn=CN1538190&amp;sv=5a1a343cf66ea44504759e19facd96c6","CN1538190")</f>
        <v>CN1538190</v>
      </c>
      <c r="B1920" s="2" t="s">
        <v>8685</v>
      </c>
      <c r="C1920" s="2" t="s">
        <v>8686</v>
      </c>
      <c r="D1920" s="2" t="s">
        <v>38</v>
      </c>
      <c r="E1920" s="2" t="s">
        <v>38</v>
      </c>
      <c r="F1920" s="2" t="s">
        <v>8473</v>
      </c>
      <c r="G1920" s="2" t="s">
        <v>8473</v>
      </c>
      <c r="H1920" s="2" t="s">
        <v>8687</v>
      </c>
      <c r="I1920" s="2" t="s">
        <v>8687</v>
      </c>
      <c r="J1920" s="2" t="s">
        <v>1867</v>
      </c>
      <c r="K1920" s="2" t="s">
        <v>1935</v>
      </c>
      <c r="L1920" s="2" t="s">
        <v>1936</v>
      </c>
      <c r="M1920" s="2" t="s">
        <v>43</v>
      </c>
      <c r="N1920" s="2" t="s">
        <v>5939</v>
      </c>
      <c r="O1920" s="2">
        <v>6</v>
      </c>
      <c r="P1920" s="2">
        <v>13</v>
      </c>
      <c r="Q1920" s="2" t="s">
        <v>46</v>
      </c>
      <c r="R1920" s="2" t="s">
        <v>47</v>
      </c>
      <c r="S1920" s="2">
        <v>0</v>
      </c>
      <c r="T1920" s="2">
        <v>0</v>
      </c>
      <c r="U1920" s="2">
        <v>0</v>
      </c>
      <c r="V1920" s="2">
        <v>0</v>
      </c>
      <c r="W1920" s="2">
        <v>16</v>
      </c>
      <c r="X1920" s="2" t="s">
        <v>8688</v>
      </c>
      <c r="Y1920" s="2">
        <v>5</v>
      </c>
      <c r="Z1920" s="2">
        <v>11</v>
      </c>
      <c r="AA1920" s="2">
        <v>6</v>
      </c>
      <c r="AB1920" s="2">
        <v>3</v>
      </c>
      <c r="AC1920" s="2">
        <v>1</v>
      </c>
      <c r="AD1920" s="2">
        <v>1</v>
      </c>
      <c r="AE1920" s="2" t="s">
        <v>0</v>
      </c>
      <c r="AF1920" s="2">
        <v>1</v>
      </c>
      <c r="AG1920" s="2" t="s">
        <v>49</v>
      </c>
    </row>
    <row r="1921" spans="1:33" ht="140.25" x14ac:dyDescent="0.2">
      <c r="A1921" s="5" t="str">
        <f>HYPERLINK("http://www.patentics.cn/invokexml.do?sf=ShowPatent&amp;spn=US8917206&amp;sv=3e77b72ba68a54f44c46e0223d579b52","US8917206")</f>
        <v>US8917206</v>
      </c>
      <c r="B1921" s="3" t="s">
        <v>8474</v>
      </c>
      <c r="C1921" s="3" t="s">
        <v>8475</v>
      </c>
      <c r="D1921" s="3" t="s">
        <v>52</v>
      </c>
      <c r="E1921" s="3" t="s">
        <v>52</v>
      </c>
      <c r="F1921" s="3" t="s">
        <v>8476</v>
      </c>
      <c r="G1921" s="3" t="s">
        <v>803</v>
      </c>
      <c r="H1921" s="3" t="s">
        <v>3050</v>
      </c>
      <c r="I1921" s="3" t="s">
        <v>371</v>
      </c>
      <c r="J1921" s="3" t="s">
        <v>203</v>
      </c>
      <c r="K1921" s="3" t="s">
        <v>1935</v>
      </c>
      <c r="L1921" s="3" t="s">
        <v>8477</v>
      </c>
      <c r="M1921" s="3" t="s">
        <v>1935</v>
      </c>
      <c r="N1921" s="3" t="s">
        <v>8478</v>
      </c>
      <c r="O1921" s="3">
        <v>0</v>
      </c>
      <c r="P1921" s="3">
        <v>11</v>
      </c>
      <c r="Q1921" s="3" t="s">
        <v>60</v>
      </c>
      <c r="R1921" s="3" t="s">
        <v>61</v>
      </c>
      <c r="S1921" s="3">
        <v>15</v>
      </c>
      <c r="T1921" s="3">
        <v>3</v>
      </c>
      <c r="U1921" s="3">
        <v>12</v>
      </c>
      <c r="V1921" s="3">
        <v>10</v>
      </c>
      <c r="W1921" s="3">
        <v>0</v>
      </c>
      <c r="X1921" s="3" t="s">
        <v>147</v>
      </c>
      <c r="Y1921" s="3">
        <v>0</v>
      </c>
      <c r="Z1921" s="3">
        <v>0</v>
      </c>
      <c r="AA1921" s="3">
        <v>0</v>
      </c>
      <c r="AB1921" s="3">
        <v>0</v>
      </c>
      <c r="AC1921" s="3">
        <v>8</v>
      </c>
      <c r="AD1921" s="3">
        <v>7</v>
      </c>
      <c r="AE1921" s="3">
        <v>14</v>
      </c>
      <c r="AF1921" s="3" t="s">
        <v>0</v>
      </c>
      <c r="AG1921" s="3" t="s">
        <v>49</v>
      </c>
    </row>
    <row r="1922" spans="1:33" ht="25.5" x14ac:dyDescent="0.2">
      <c r="A1922" s="4" t="str">
        <f>HYPERLINK("http://www.patentics.cn/invokexml.do?sf=ShowPatent&amp;spn=CN1529449&amp;sv=768753db41903bd5478535273279a067","CN1529449")</f>
        <v>CN1529449</v>
      </c>
      <c r="B1922" s="2" t="s">
        <v>8689</v>
      </c>
      <c r="C1922" s="2" t="s">
        <v>8690</v>
      </c>
      <c r="D1922" s="2" t="s">
        <v>38</v>
      </c>
      <c r="E1922" s="2" t="s">
        <v>38</v>
      </c>
      <c r="F1922" s="2" t="s">
        <v>8691</v>
      </c>
      <c r="G1922" s="2" t="s">
        <v>8692</v>
      </c>
      <c r="H1922" s="2" t="s">
        <v>8693</v>
      </c>
      <c r="I1922" s="2" t="s">
        <v>8693</v>
      </c>
      <c r="J1922" s="2" t="s">
        <v>6046</v>
      </c>
      <c r="K1922" s="2" t="s">
        <v>70</v>
      </c>
      <c r="L1922" s="2" t="s">
        <v>5999</v>
      </c>
      <c r="M1922" s="2" t="s">
        <v>58</v>
      </c>
      <c r="N1922" s="2" t="s">
        <v>1785</v>
      </c>
      <c r="O1922" s="2">
        <v>15</v>
      </c>
      <c r="P1922" s="2">
        <v>14</v>
      </c>
      <c r="Q1922" s="2" t="s">
        <v>46</v>
      </c>
      <c r="R1922" s="2" t="s">
        <v>47</v>
      </c>
      <c r="S1922" s="2">
        <v>0</v>
      </c>
      <c r="T1922" s="2">
        <v>0</v>
      </c>
      <c r="U1922" s="2">
        <v>0</v>
      </c>
      <c r="V1922" s="2">
        <v>0</v>
      </c>
      <c r="W1922" s="2">
        <v>15</v>
      </c>
      <c r="X1922" s="2" t="s">
        <v>8694</v>
      </c>
      <c r="Y1922" s="2">
        <v>3</v>
      </c>
      <c r="Z1922" s="2">
        <v>12</v>
      </c>
      <c r="AA1922" s="2">
        <v>5</v>
      </c>
      <c r="AB1922" s="2">
        <v>2</v>
      </c>
      <c r="AC1922" s="2">
        <v>1</v>
      </c>
      <c r="AD1922" s="2">
        <v>1</v>
      </c>
      <c r="AE1922" s="2" t="s">
        <v>0</v>
      </c>
      <c r="AF1922" s="2">
        <v>1</v>
      </c>
      <c r="AG1922" s="2" t="s">
        <v>49</v>
      </c>
    </row>
    <row r="1923" spans="1:33" ht="38.25" x14ac:dyDescent="0.2">
      <c r="A1923" s="5" t="str">
        <f>HYPERLINK("http://www.patentics.cn/invokexml.do?sf=ShowPatent&amp;spn=CN101366248B&amp;sv=e267e1b829ffe63404e89930df229c8a","CN101366248B")</f>
        <v>CN101366248B</v>
      </c>
      <c r="B1923" s="3" t="s">
        <v>8695</v>
      </c>
      <c r="C1923" s="3" t="s">
        <v>8696</v>
      </c>
      <c r="D1923" s="3" t="s">
        <v>338</v>
      </c>
      <c r="E1923" s="3" t="s">
        <v>338</v>
      </c>
      <c r="F1923" s="3" t="s">
        <v>8697</v>
      </c>
      <c r="G1923" s="3" t="s">
        <v>8698</v>
      </c>
      <c r="H1923" s="3" t="s">
        <v>8699</v>
      </c>
      <c r="I1923" s="3" t="s">
        <v>4300</v>
      </c>
      <c r="J1923" s="3" t="s">
        <v>6595</v>
      </c>
      <c r="K1923" s="3" t="s">
        <v>58</v>
      </c>
      <c r="L1923" s="3" t="s">
        <v>1236</v>
      </c>
      <c r="M1923" s="3" t="s">
        <v>0</v>
      </c>
      <c r="N1923" s="3" t="s">
        <v>0</v>
      </c>
      <c r="O1923" s="3">
        <v>8</v>
      </c>
      <c r="P1923" s="3">
        <v>9</v>
      </c>
      <c r="Q1923" s="3" t="s">
        <v>60</v>
      </c>
      <c r="R1923" s="3" t="s">
        <v>61</v>
      </c>
      <c r="S1923" s="3">
        <v>5</v>
      </c>
      <c r="T1923" s="3">
        <v>1</v>
      </c>
      <c r="U1923" s="3">
        <v>4</v>
      </c>
      <c r="V1923" s="3">
        <v>5</v>
      </c>
      <c r="W1923" s="3">
        <v>0</v>
      </c>
      <c r="X1923" s="3" t="s">
        <v>147</v>
      </c>
      <c r="Y1923" s="3">
        <v>0</v>
      </c>
      <c r="Z1923" s="3">
        <v>0</v>
      </c>
      <c r="AA1923" s="3">
        <v>0</v>
      </c>
      <c r="AB1923" s="3">
        <v>0</v>
      </c>
      <c r="AC1923" s="3">
        <v>11</v>
      </c>
      <c r="AD1923" s="3">
        <v>6</v>
      </c>
      <c r="AE1923" s="3">
        <v>14</v>
      </c>
      <c r="AF1923" s="3" t="s">
        <v>0</v>
      </c>
      <c r="AG1923" s="3" t="s">
        <v>49</v>
      </c>
    </row>
    <row r="1924" spans="1:33" ht="25.5" x14ac:dyDescent="0.2">
      <c r="A1924" s="4" t="str">
        <f>HYPERLINK("http://www.patentics.cn/invokexml.do?sf=ShowPatent&amp;spn=CN1523836&amp;sv=fecd9087323ecde20240796c67492f4e","CN1523836")</f>
        <v>CN1523836</v>
      </c>
      <c r="B1924" s="2" t="s">
        <v>8700</v>
      </c>
      <c r="C1924" s="2" t="s">
        <v>8701</v>
      </c>
      <c r="D1924" s="2" t="s">
        <v>38</v>
      </c>
      <c r="E1924" s="2" t="s">
        <v>38</v>
      </c>
      <c r="F1924" s="2" t="s">
        <v>8702</v>
      </c>
      <c r="G1924" s="2" t="s">
        <v>8703</v>
      </c>
      <c r="H1924" s="2" t="s">
        <v>8704</v>
      </c>
      <c r="I1924" s="2" t="s">
        <v>8704</v>
      </c>
      <c r="J1924" s="2" t="s">
        <v>8705</v>
      </c>
      <c r="K1924" s="2" t="s">
        <v>58</v>
      </c>
      <c r="L1924" s="2" t="s">
        <v>1236</v>
      </c>
      <c r="M1924" s="2" t="s">
        <v>43</v>
      </c>
      <c r="N1924" s="2" t="s">
        <v>45</v>
      </c>
      <c r="O1924" s="2">
        <v>3</v>
      </c>
      <c r="P1924" s="2">
        <v>19</v>
      </c>
      <c r="Q1924" s="2" t="s">
        <v>46</v>
      </c>
      <c r="R1924" s="2" t="s">
        <v>47</v>
      </c>
      <c r="S1924" s="2">
        <v>0</v>
      </c>
      <c r="T1924" s="2">
        <v>0</v>
      </c>
      <c r="U1924" s="2">
        <v>0</v>
      </c>
      <c r="V1924" s="2">
        <v>0</v>
      </c>
      <c r="W1924" s="2">
        <v>4</v>
      </c>
      <c r="X1924" s="2" t="s">
        <v>8706</v>
      </c>
      <c r="Y1924" s="2">
        <v>0</v>
      </c>
      <c r="Z1924" s="2">
        <v>4</v>
      </c>
      <c r="AA1924" s="2">
        <v>3</v>
      </c>
      <c r="AB1924" s="2">
        <v>1</v>
      </c>
      <c r="AC1924" s="2">
        <v>1</v>
      </c>
      <c r="AD1924" s="2">
        <v>1</v>
      </c>
      <c r="AE1924" s="2" t="s">
        <v>0</v>
      </c>
      <c r="AF1924" s="2">
        <v>1</v>
      </c>
      <c r="AG1924" s="2" t="s">
        <v>755</v>
      </c>
    </row>
    <row r="1925" spans="1:33" ht="76.5" x14ac:dyDescent="0.2">
      <c r="A1925" s="5" t="str">
        <f>HYPERLINK("http://www.patentics.cn/invokexml.do?sf=ShowPatent&amp;spn=CN101548562B&amp;sv=52a69582aa84e33d8398f21e17820252","CN101548562B")</f>
        <v>CN101548562B</v>
      </c>
      <c r="B1925" s="3" t="s">
        <v>8707</v>
      </c>
      <c r="C1925" s="3" t="s">
        <v>8708</v>
      </c>
      <c r="D1925" s="3" t="s">
        <v>338</v>
      </c>
      <c r="E1925" s="3" t="s">
        <v>338</v>
      </c>
      <c r="F1925" s="3" t="s">
        <v>8709</v>
      </c>
      <c r="G1925" s="3" t="s">
        <v>8710</v>
      </c>
      <c r="H1925" s="3" t="s">
        <v>100</v>
      </c>
      <c r="I1925" s="3" t="s">
        <v>8711</v>
      </c>
      <c r="J1925" s="3" t="s">
        <v>8712</v>
      </c>
      <c r="K1925" s="3" t="s">
        <v>82</v>
      </c>
      <c r="L1925" s="3" t="s">
        <v>3795</v>
      </c>
      <c r="M1925" s="3" t="s">
        <v>0</v>
      </c>
      <c r="N1925" s="3" t="s">
        <v>0</v>
      </c>
      <c r="O1925" s="3">
        <v>22</v>
      </c>
      <c r="P1925" s="3">
        <v>9</v>
      </c>
      <c r="Q1925" s="3" t="s">
        <v>60</v>
      </c>
      <c r="R1925" s="3" t="s">
        <v>61</v>
      </c>
      <c r="S1925" s="3">
        <v>6</v>
      </c>
      <c r="T1925" s="3">
        <v>0</v>
      </c>
      <c r="U1925" s="3">
        <v>6</v>
      </c>
      <c r="V1925" s="3">
        <v>4</v>
      </c>
      <c r="W1925" s="3">
        <v>0</v>
      </c>
      <c r="X1925" s="3" t="s">
        <v>147</v>
      </c>
      <c r="Y1925" s="3">
        <v>0</v>
      </c>
      <c r="Z1925" s="3">
        <v>0</v>
      </c>
      <c r="AA1925" s="3">
        <v>0</v>
      </c>
      <c r="AB1925" s="3">
        <v>0</v>
      </c>
      <c r="AC1925" s="3">
        <v>16</v>
      </c>
      <c r="AD1925" s="3">
        <v>10</v>
      </c>
      <c r="AE1925" s="3">
        <v>14</v>
      </c>
      <c r="AF1925" s="3" t="s">
        <v>0</v>
      </c>
      <c r="AG1925" s="3" t="s">
        <v>49</v>
      </c>
    </row>
    <row r="1926" spans="1:33" ht="25.5" x14ac:dyDescent="0.2">
      <c r="A1926" s="4" t="str">
        <f>HYPERLINK("http://www.patentics.cn/invokexml.do?sf=ShowPatent&amp;spn=CN1523835&amp;sv=46ddf1ef640483a3d276f4c6136b3e77","CN1523835")</f>
        <v>CN1523835</v>
      </c>
      <c r="B1926" s="2" t="s">
        <v>8713</v>
      </c>
      <c r="C1926" s="2" t="s">
        <v>8714</v>
      </c>
      <c r="D1926" s="2" t="s">
        <v>38</v>
      </c>
      <c r="E1926" s="2" t="s">
        <v>38</v>
      </c>
      <c r="F1926" s="2" t="s">
        <v>8702</v>
      </c>
      <c r="G1926" s="2" t="s">
        <v>8703</v>
      </c>
      <c r="H1926" s="2" t="s">
        <v>8704</v>
      </c>
      <c r="I1926" s="2" t="s">
        <v>8704</v>
      </c>
      <c r="J1926" s="2" t="s">
        <v>8705</v>
      </c>
      <c r="K1926" s="2" t="s">
        <v>58</v>
      </c>
      <c r="L1926" s="2" t="s">
        <v>1236</v>
      </c>
      <c r="M1926" s="2" t="s">
        <v>43</v>
      </c>
      <c r="N1926" s="2" t="s">
        <v>8715</v>
      </c>
      <c r="O1926" s="2">
        <v>1</v>
      </c>
      <c r="P1926" s="2">
        <v>17</v>
      </c>
      <c r="Q1926" s="2" t="s">
        <v>46</v>
      </c>
      <c r="R1926" s="2" t="s">
        <v>47</v>
      </c>
      <c r="S1926" s="2">
        <v>0</v>
      </c>
      <c r="T1926" s="2">
        <v>0</v>
      </c>
      <c r="U1926" s="2">
        <v>0</v>
      </c>
      <c r="V1926" s="2">
        <v>0</v>
      </c>
      <c r="W1926" s="2">
        <v>7</v>
      </c>
      <c r="X1926" s="2" t="s">
        <v>8716</v>
      </c>
      <c r="Y1926" s="2">
        <v>2</v>
      </c>
      <c r="Z1926" s="2">
        <v>5</v>
      </c>
      <c r="AA1926" s="2">
        <v>3</v>
      </c>
      <c r="AB1926" s="2">
        <v>2</v>
      </c>
      <c r="AC1926" s="2">
        <v>1</v>
      </c>
      <c r="AD1926" s="2">
        <v>1</v>
      </c>
      <c r="AE1926" s="2" t="s">
        <v>0</v>
      </c>
      <c r="AF1926" s="2">
        <v>1</v>
      </c>
      <c r="AG1926" s="2" t="s">
        <v>755</v>
      </c>
    </row>
    <row r="1927" spans="1:33" ht="51" x14ac:dyDescent="0.2">
      <c r="A1927" s="5" t="str">
        <f>HYPERLINK("http://www.patentics.cn/invokexml.do?sf=ShowPatent&amp;spn=CN101233776B&amp;sv=f12eebb56f867000200714fbdea135ad","CN101233776B")</f>
        <v>CN101233776B</v>
      </c>
      <c r="B1927" s="3" t="s">
        <v>8717</v>
      </c>
      <c r="C1927" s="3" t="s">
        <v>8718</v>
      </c>
      <c r="D1927" s="3" t="s">
        <v>338</v>
      </c>
      <c r="E1927" s="3" t="s">
        <v>338</v>
      </c>
      <c r="F1927" s="3" t="s">
        <v>8719</v>
      </c>
      <c r="G1927" s="3" t="s">
        <v>8720</v>
      </c>
      <c r="H1927" s="3" t="s">
        <v>132</v>
      </c>
      <c r="I1927" s="3" t="s">
        <v>8721</v>
      </c>
      <c r="J1927" s="3" t="s">
        <v>7200</v>
      </c>
      <c r="K1927" s="3" t="s">
        <v>82</v>
      </c>
      <c r="L1927" s="3" t="s">
        <v>244</v>
      </c>
      <c r="M1927" s="3" t="s">
        <v>0</v>
      </c>
      <c r="N1927" s="3" t="s">
        <v>0</v>
      </c>
      <c r="O1927" s="3">
        <v>26</v>
      </c>
      <c r="P1927" s="3">
        <v>12</v>
      </c>
      <c r="Q1927" s="3" t="s">
        <v>60</v>
      </c>
      <c r="R1927" s="3" t="s">
        <v>61</v>
      </c>
      <c r="S1927" s="3">
        <v>2</v>
      </c>
      <c r="T1927" s="3">
        <v>0</v>
      </c>
      <c r="U1927" s="3">
        <v>2</v>
      </c>
      <c r="V1927" s="3">
        <v>2</v>
      </c>
      <c r="W1927" s="3">
        <v>0</v>
      </c>
      <c r="X1927" s="3" t="s">
        <v>147</v>
      </c>
      <c r="Y1927" s="3">
        <v>0</v>
      </c>
      <c r="Z1927" s="3">
        <v>0</v>
      </c>
      <c r="AA1927" s="3">
        <v>0</v>
      </c>
      <c r="AB1927" s="3">
        <v>0</v>
      </c>
      <c r="AC1927" s="3">
        <v>10</v>
      </c>
      <c r="AD1927" s="3">
        <v>7</v>
      </c>
      <c r="AE1927" s="3">
        <v>14</v>
      </c>
      <c r="AF1927" s="3" t="s">
        <v>0</v>
      </c>
      <c r="AG1927" s="3" t="s">
        <v>49</v>
      </c>
    </row>
    <row r="1928" spans="1:33" ht="25.5" x14ac:dyDescent="0.2">
      <c r="A1928" s="4" t="str">
        <f>HYPERLINK("http://www.patentics.cn/invokexml.do?sf=ShowPatent&amp;spn=CN1510828&amp;sv=9d9a3b119bdfa0c2726d88dd58846df9","CN1510828")</f>
        <v>CN1510828</v>
      </c>
      <c r="B1928" s="2" t="s">
        <v>8722</v>
      </c>
      <c r="C1928" s="2" t="s">
        <v>8723</v>
      </c>
      <c r="D1928" s="2" t="s">
        <v>37</v>
      </c>
      <c r="E1928" s="2" t="s">
        <v>38</v>
      </c>
      <c r="F1928" s="2" t="s">
        <v>8724</v>
      </c>
      <c r="G1928" s="2" t="s">
        <v>8725</v>
      </c>
      <c r="H1928" s="2" t="s">
        <v>8726</v>
      </c>
      <c r="I1928" s="2" t="s">
        <v>8726</v>
      </c>
      <c r="J1928" s="2" t="s">
        <v>8727</v>
      </c>
      <c r="K1928" s="2" t="s">
        <v>8728</v>
      </c>
      <c r="L1928" s="2" t="s">
        <v>8729</v>
      </c>
      <c r="M1928" s="2" t="s">
        <v>5827</v>
      </c>
      <c r="N1928" s="2" t="s">
        <v>8730</v>
      </c>
      <c r="O1928" s="2">
        <v>11</v>
      </c>
      <c r="P1928" s="2">
        <v>16</v>
      </c>
      <c r="Q1928" s="2" t="s">
        <v>46</v>
      </c>
      <c r="R1928" s="2" t="s">
        <v>47</v>
      </c>
      <c r="S1928" s="2">
        <v>1</v>
      </c>
      <c r="T1928" s="2">
        <v>0</v>
      </c>
      <c r="U1928" s="2">
        <v>1</v>
      </c>
      <c r="V1928" s="2">
        <v>1</v>
      </c>
      <c r="W1928" s="2">
        <v>1</v>
      </c>
      <c r="X1928" s="2" t="s">
        <v>1206</v>
      </c>
      <c r="Y1928" s="2">
        <v>0</v>
      </c>
      <c r="Z1928" s="2">
        <v>1</v>
      </c>
      <c r="AA1928" s="2">
        <v>1</v>
      </c>
      <c r="AB1928" s="2">
        <v>1</v>
      </c>
      <c r="AC1928" s="2">
        <v>1</v>
      </c>
      <c r="AD1928" s="2">
        <v>1</v>
      </c>
      <c r="AE1928" s="2" t="s">
        <v>0</v>
      </c>
      <c r="AF1928" s="2">
        <v>1</v>
      </c>
      <c r="AG1928" s="2" t="s">
        <v>755</v>
      </c>
    </row>
    <row r="1929" spans="1:33" ht="25.5" x14ac:dyDescent="0.2">
      <c r="A1929" s="5" t="str">
        <f>HYPERLINK("http://www.patentics.cn/invokexml.do?sf=ShowPatent&amp;spn=CN101485090B&amp;sv=b2799e38dec45c13993645cc31679dc5","CN101485090B")</f>
        <v>CN101485090B</v>
      </c>
      <c r="B1929" s="3" t="s">
        <v>8731</v>
      </c>
      <c r="C1929" s="3" t="s">
        <v>8732</v>
      </c>
      <c r="D1929" s="3" t="s">
        <v>338</v>
      </c>
      <c r="E1929" s="3" t="s">
        <v>338</v>
      </c>
      <c r="F1929" s="3" t="s">
        <v>8733</v>
      </c>
      <c r="G1929" s="3" t="s">
        <v>8734</v>
      </c>
      <c r="H1929" s="3" t="s">
        <v>8735</v>
      </c>
      <c r="I1929" s="3" t="s">
        <v>8736</v>
      </c>
      <c r="J1929" s="3" t="s">
        <v>1192</v>
      </c>
      <c r="K1929" s="3" t="s">
        <v>893</v>
      </c>
      <c r="L1929" s="3" t="s">
        <v>8737</v>
      </c>
      <c r="M1929" s="3" t="s">
        <v>0</v>
      </c>
      <c r="N1929" s="3" t="s">
        <v>0</v>
      </c>
      <c r="O1929" s="3">
        <v>4</v>
      </c>
      <c r="P1929" s="3">
        <v>25</v>
      </c>
      <c r="Q1929" s="3" t="s">
        <v>60</v>
      </c>
      <c r="R1929" s="3" t="s">
        <v>61</v>
      </c>
      <c r="S1929" s="3">
        <v>3</v>
      </c>
      <c r="T1929" s="3">
        <v>0</v>
      </c>
      <c r="U1929" s="3">
        <v>3</v>
      </c>
      <c r="V1929" s="3">
        <v>3</v>
      </c>
      <c r="W1929" s="3">
        <v>0</v>
      </c>
      <c r="X1929" s="3" t="s">
        <v>147</v>
      </c>
      <c r="Y1929" s="3">
        <v>0</v>
      </c>
      <c r="Z1929" s="3">
        <v>0</v>
      </c>
      <c r="AA1929" s="3">
        <v>0</v>
      </c>
      <c r="AB1929" s="3">
        <v>0</v>
      </c>
      <c r="AC1929" s="3">
        <v>12</v>
      </c>
      <c r="AD1929" s="3">
        <v>7</v>
      </c>
      <c r="AE1929" s="3">
        <v>14</v>
      </c>
      <c r="AF1929" s="3" t="s">
        <v>0</v>
      </c>
      <c r="AG1929" s="3" t="s">
        <v>49</v>
      </c>
    </row>
    <row r="1930" spans="1:33" ht="38.25" x14ac:dyDescent="0.2">
      <c r="A1930" s="4" t="str">
        <f>HYPERLINK("http://www.patentics.cn/invokexml.do?sf=ShowPatent&amp;spn=CN1499889&amp;sv=09a71d4c349044415268160e3e86736b","CN1499889")</f>
        <v>CN1499889</v>
      </c>
      <c r="B1930" s="2" t="s">
        <v>8738</v>
      </c>
      <c r="C1930" s="2" t="s">
        <v>8739</v>
      </c>
      <c r="D1930" s="2" t="s">
        <v>37</v>
      </c>
      <c r="E1930" s="2" t="s">
        <v>38</v>
      </c>
      <c r="F1930" s="2" t="s">
        <v>8740</v>
      </c>
      <c r="G1930" s="2" t="s">
        <v>8741</v>
      </c>
      <c r="H1930" s="2" t="s">
        <v>8742</v>
      </c>
      <c r="I1930" s="2" t="s">
        <v>8742</v>
      </c>
      <c r="J1930" s="2" t="s">
        <v>6073</v>
      </c>
      <c r="K1930" s="2" t="s">
        <v>43</v>
      </c>
      <c r="L1930" s="2" t="s">
        <v>2591</v>
      </c>
      <c r="M1930" s="2" t="s">
        <v>58</v>
      </c>
      <c r="N1930" s="2" t="s">
        <v>1785</v>
      </c>
      <c r="O1930" s="2">
        <v>7</v>
      </c>
      <c r="P1930" s="2">
        <v>23</v>
      </c>
      <c r="Q1930" s="2" t="s">
        <v>46</v>
      </c>
      <c r="R1930" s="2" t="s">
        <v>47</v>
      </c>
      <c r="S1930" s="2">
        <v>0</v>
      </c>
      <c r="T1930" s="2">
        <v>0</v>
      </c>
      <c r="U1930" s="2">
        <v>0</v>
      </c>
      <c r="V1930" s="2">
        <v>0</v>
      </c>
      <c r="W1930" s="2">
        <v>4</v>
      </c>
      <c r="X1930" s="2" t="s">
        <v>8743</v>
      </c>
      <c r="Y1930" s="2">
        <v>1</v>
      </c>
      <c r="Z1930" s="2">
        <v>3</v>
      </c>
      <c r="AA1930" s="2">
        <v>4</v>
      </c>
      <c r="AB1930" s="2">
        <v>2</v>
      </c>
      <c r="AC1930" s="2">
        <v>1</v>
      </c>
      <c r="AD1930" s="2">
        <v>1</v>
      </c>
      <c r="AE1930" s="2" t="s">
        <v>0</v>
      </c>
      <c r="AF1930" s="2">
        <v>1</v>
      </c>
      <c r="AG1930" s="2" t="s">
        <v>755</v>
      </c>
    </row>
    <row r="1931" spans="1:33" ht="89.25" x14ac:dyDescent="0.2">
      <c r="A1931" s="5" t="str">
        <f>HYPERLINK("http://www.patentics.cn/invokexml.do?sf=ShowPatent&amp;spn=CN101647308B&amp;sv=2a4c212e8c3d906bd0366b89767f0e04","CN101647308B")</f>
        <v>CN101647308B</v>
      </c>
      <c r="B1931" s="3" t="s">
        <v>8744</v>
      </c>
      <c r="C1931" s="3" t="s">
        <v>8745</v>
      </c>
      <c r="D1931" s="3" t="s">
        <v>338</v>
      </c>
      <c r="E1931" s="3" t="s">
        <v>338</v>
      </c>
      <c r="F1931" s="3" t="s">
        <v>8746</v>
      </c>
      <c r="G1931" s="3" t="s">
        <v>8747</v>
      </c>
      <c r="H1931" s="3" t="s">
        <v>4711</v>
      </c>
      <c r="I1931" s="3" t="s">
        <v>4959</v>
      </c>
      <c r="J1931" s="3" t="s">
        <v>8748</v>
      </c>
      <c r="K1931" s="3" t="s">
        <v>82</v>
      </c>
      <c r="L1931" s="3" t="s">
        <v>1133</v>
      </c>
      <c r="M1931" s="3" t="s">
        <v>0</v>
      </c>
      <c r="N1931" s="3" t="s">
        <v>0</v>
      </c>
      <c r="O1931" s="3">
        <v>50</v>
      </c>
      <c r="P1931" s="3">
        <v>14</v>
      </c>
      <c r="Q1931" s="3" t="s">
        <v>60</v>
      </c>
      <c r="R1931" s="3" t="s">
        <v>61</v>
      </c>
      <c r="S1931" s="3">
        <v>2</v>
      </c>
      <c r="T1931" s="3">
        <v>0</v>
      </c>
      <c r="U1931" s="3">
        <v>2</v>
      </c>
      <c r="V1931" s="3">
        <v>2</v>
      </c>
      <c r="W1931" s="3">
        <v>6</v>
      </c>
      <c r="X1931" s="3" t="s">
        <v>147</v>
      </c>
      <c r="Y1931" s="3">
        <v>0</v>
      </c>
      <c r="Z1931" s="3">
        <v>6</v>
      </c>
      <c r="AA1931" s="3">
        <v>0</v>
      </c>
      <c r="AB1931" s="3">
        <v>1</v>
      </c>
      <c r="AC1931" s="3">
        <v>13</v>
      </c>
      <c r="AD1931" s="3">
        <v>7</v>
      </c>
      <c r="AE1931" s="3">
        <v>14</v>
      </c>
      <c r="AF1931" s="3" t="s">
        <v>0</v>
      </c>
      <c r="AG1931" s="3" t="s">
        <v>49</v>
      </c>
    </row>
    <row r="1932" spans="1:33" ht="51" x14ac:dyDescent="0.2">
      <c r="A1932" s="4" t="str">
        <f>HYPERLINK("http://www.patentics.cn/invokexml.do?sf=ShowPatent&amp;spn=CN1496042&amp;sv=6a41230450f067abf59c89f798b18dbe","CN1496042")</f>
        <v>CN1496042</v>
      </c>
      <c r="B1932" s="2" t="s">
        <v>8749</v>
      </c>
      <c r="C1932" s="2" t="s">
        <v>8750</v>
      </c>
      <c r="D1932" s="2" t="s">
        <v>8751</v>
      </c>
      <c r="E1932" s="2" t="s">
        <v>38</v>
      </c>
      <c r="F1932" s="2" t="s">
        <v>8752</v>
      </c>
      <c r="G1932" s="2" t="s">
        <v>8753</v>
      </c>
      <c r="H1932" s="2" t="s">
        <v>1632</v>
      </c>
      <c r="I1932" s="2" t="s">
        <v>8754</v>
      </c>
      <c r="J1932" s="2" t="s">
        <v>8755</v>
      </c>
      <c r="K1932" s="2" t="s">
        <v>70</v>
      </c>
      <c r="L1932" s="2" t="s">
        <v>5999</v>
      </c>
      <c r="M1932" s="2" t="s">
        <v>43</v>
      </c>
      <c r="N1932" s="2" t="s">
        <v>3004</v>
      </c>
      <c r="O1932" s="2">
        <v>64</v>
      </c>
      <c r="P1932" s="2">
        <v>27</v>
      </c>
      <c r="Q1932" s="2" t="s">
        <v>46</v>
      </c>
      <c r="R1932" s="2" t="s">
        <v>61</v>
      </c>
      <c r="S1932" s="2">
        <v>0</v>
      </c>
      <c r="T1932" s="2">
        <v>0</v>
      </c>
      <c r="U1932" s="2">
        <v>0</v>
      </c>
      <c r="V1932" s="2">
        <v>0</v>
      </c>
      <c r="W1932" s="2">
        <v>38</v>
      </c>
      <c r="X1932" s="2" t="s">
        <v>8756</v>
      </c>
      <c r="Y1932" s="2">
        <v>27</v>
      </c>
      <c r="Z1932" s="2">
        <v>11</v>
      </c>
      <c r="AA1932" s="2">
        <v>6</v>
      </c>
      <c r="AB1932" s="2">
        <v>2</v>
      </c>
      <c r="AC1932" s="2">
        <v>12</v>
      </c>
      <c r="AD1932" s="2">
        <v>7</v>
      </c>
      <c r="AE1932" s="2" t="s">
        <v>0</v>
      </c>
      <c r="AF1932" s="2">
        <v>1</v>
      </c>
      <c r="AG1932" s="2" t="s">
        <v>49</v>
      </c>
    </row>
    <row r="1933" spans="1:33" ht="25.5" x14ac:dyDescent="0.2">
      <c r="A1933" s="5" t="str">
        <f>HYPERLINK("http://www.patentics.cn/invokexml.do?sf=ShowPatent&amp;spn=CN101803280B&amp;sv=73aa7dba2682f421bcf6cf9f73615957","CN101803280B")</f>
        <v>CN101803280B</v>
      </c>
      <c r="B1933" s="3" t="s">
        <v>8757</v>
      </c>
      <c r="C1933" s="3" t="s">
        <v>8758</v>
      </c>
      <c r="D1933" s="3" t="s">
        <v>338</v>
      </c>
      <c r="E1933" s="3" t="s">
        <v>338</v>
      </c>
      <c r="F1933" s="3" t="s">
        <v>8759</v>
      </c>
      <c r="G1933" s="3" t="s">
        <v>8760</v>
      </c>
      <c r="H1933" s="3" t="s">
        <v>3637</v>
      </c>
      <c r="I1933" s="3" t="s">
        <v>2188</v>
      </c>
      <c r="J1933" s="3" t="s">
        <v>7195</v>
      </c>
      <c r="K1933" s="3" t="s">
        <v>58</v>
      </c>
      <c r="L1933" s="3" t="s">
        <v>4508</v>
      </c>
      <c r="M1933" s="3" t="s">
        <v>0</v>
      </c>
      <c r="N1933" s="3" t="s">
        <v>0</v>
      </c>
      <c r="O1933" s="3">
        <v>26</v>
      </c>
      <c r="P1933" s="3">
        <v>18</v>
      </c>
      <c r="Q1933" s="3" t="s">
        <v>60</v>
      </c>
      <c r="R1933" s="3" t="s">
        <v>61</v>
      </c>
      <c r="S1933" s="3">
        <v>4</v>
      </c>
      <c r="T1933" s="3">
        <v>2</v>
      </c>
      <c r="U1933" s="3">
        <v>2</v>
      </c>
      <c r="V1933" s="3">
        <v>3</v>
      </c>
      <c r="W1933" s="3">
        <v>0</v>
      </c>
      <c r="X1933" s="3" t="s">
        <v>147</v>
      </c>
      <c r="Y1933" s="3">
        <v>0</v>
      </c>
      <c r="Z1933" s="3">
        <v>0</v>
      </c>
      <c r="AA1933" s="3">
        <v>0</v>
      </c>
      <c r="AB1933" s="3">
        <v>0</v>
      </c>
      <c r="AC1933" s="3">
        <v>23</v>
      </c>
      <c r="AD1933" s="3">
        <v>7</v>
      </c>
      <c r="AE1933" s="3">
        <v>14</v>
      </c>
      <c r="AF1933" s="3" t="s">
        <v>0</v>
      </c>
      <c r="AG1933" s="3" t="s">
        <v>755</v>
      </c>
    </row>
    <row r="1934" spans="1:33" ht="25.5" x14ac:dyDescent="0.2">
      <c r="A1934" s="4" t="str">
        <f>HYPERLINK("http://www.patentics.cn/invokexml.do?sf=ShowPatent&amp;spn=CN1481094&amp;sv=f89d288ab18bc0707e3cdec359dc12e9","CN1481094")</f>
        <v>CN1481094</v>
      </c>
      <c r="B1934" s="2" t="s">
        <v>8761</v>
      </c>
      <c r="C1934" s="2" t="s">
        <v>8762</v>
      </c>
      <c r="D1934" s="2" t="s">
        <v>8763</v>
      </c>
      <c r="E1934" s="2" t="s">
        <v>38</v>
      </c>
      <c r="F1934" s="2" t="s">
        <v>8764</v>
      </c>
      <c r="G1934" s="2" t="s">
        <v>7565</v>
      </c>
      <c r="H1934" s="2" t="s">
        <v>8765</v>
      </c>
      <c r="I1934" s="2" t="s">
        <v>8765</v>
      </c>
      <c r="J1934" s="2" t="s">
        <v>8766</v>
      </c>
      <c r="K1934" s="2" t="s">
        <v>70</v>
      </c>
      <c r="L1934" s="2" t="s">
        <v>3121</v>
      </c>
      <c r="M1934" s="2" t="s">
        <v>84</v>
      </c>
      <c r="N1934" s="2" t="s">
        <v>2604</v>
      </c>
      <c r="O1934" s="2">
        <v>5</v>
      </c>
      <c r="P1934" s="2">
        <v>13</v>
      </c>
      <c r="Q1934" s="2" t="s">
        <v>46</v>
      </c>
      <c r="R1934" s="2" t="s">
        <v>47</v>
      </c>
      <c r="S1934" s="2">
        <v>1</v>
      </c>
      <c r="T1934" s="2">
        <v>0</v>
      </c>
      <c r="U1934" s="2">
        <v>1</v>
      </c>
      <c r="V1934" s="2">
        <v>1</v>
      </c>
      <c r="W1934" s="2">
        <v>3</v>
      </c>
      <c r="X1934" s="2" t="s">
        <v>8767</v>
      </c>
      <c r="Y1934" s="2">
        <v>0</v>
      </c>
      <c r="Z1934" s="2">
        <v>3</v>
      </c>
      <c r="AA1934" s="2">
        <v>3</v>
      </c>
      <c r="AB1934" s="2">
        <v>1</v>
      </c>
      <c r="AC1934" s="2">
        <v>1</v>
      </c>
      <c r="AD1934" s="2">
        <v>1</v>
      </c>
      <c r="AE1934" s="2" t="s">
        <v>0</v>
      </c>
      <c r="AF1934" s="2">
        <v>1</v>
      </c>
      <c r="AG1934" s="2" t="s">
        <v>755</v>
      </c>
    </row>
    <row r="1935" spans="1:33" x14ac:dyDescent="0.2">
      <c r="A1935" s="5" t="str">
        <f>HYPERLINK("http://www.patentics.cn/invokexml.do?sf=ShowPatent&amp;spn=CN101563860B&amp;sv=33af63b6e8a8a4f3198a69b29380ec70","CN101563860B")</f>
        <v>CN101563860B</v>
      </c>
      <c r="B1935" s="3" t="s">
        <v>8768</v>
      </c>
      <c r="C1935" s="3" t="s">
        <v>8769</v>
      </c>
      <c r="D1935" s="3" t="s">
        <v>338</v>
      </c>
      <c r="E1935" s="3" t="s">
        <v>338</v>
      </c>
      <c r="F1935" s="3" t="s">
        <v>8770</v>
      </c>
      <c r="G1935" s="3" t="s">
        <v>8770</v>
      </c>
      <c r="H1935" s="3" t="s">
        <v>8771</v>
      </c>
      <c r="I1935" s="3" t="s">
        <v>1299</v>
      </c>
      <c r="J1935" s="3" t="s">
        <v>8772</v>
      </c>
      <c r="K1935" s="3" t="s">
        <v>58</v>
      </c>
      <c r="L1935" s="3" t="s">
        <v>450</v>
      </c>
      <c r="M1935" s="3" t="s">
        <v>0</v>
      </c>
      <c r="N1935" s="3" t="s">
        <v>0</v>
      </c>
      <c r="O1935" s="3">
        <v>28</v>
      </c>
      <c r="P1935" s="3">
        <v>19</v>
      </c>
      <c r="Q1935" s="3" t="s">
        <v>60</v>
      </c>
      <c r="R1935" s="3" t="s">
        <v>61</v>
      </c>
      <c r="S1935" s="3">
        <v>2</v>
      </c>
      <c r="T1935" s="3">
        <v>0</v>
      </c>
      <c r="U1935" s="3">
        <v>2</v>
      </c>
      <c r="V1935" s="3">
        <v>2</v>
      </c>
      <c r="W1935" s="3">
        <v>0</v>
      </c>
      <c r="X1935" s="3" t="s">
        <v>147</v>
      </c>
      <c r="Y1935" s="3">
        <v>0</v>
      </c>
      <c r="Z1935" s="3">
        <v>0</v>
      </c>
      <c r="AA1935" s="3">
        <v>0</v>
      </c>
      <c r="AB1935" s="3">
        <v>0</v>
      </c>
      <c r="AC1935" s="3">
        <v>26</v>
      </c>
      <c r="AD1935" s="3">
        <v>17</v>
      </c>
      <c r="AE1935" s="3">
        <v>14</v>
      </c>
      <c r="AF1935" s="3" t="s">
        <v>0</v>
      </c>
      <c r="AG1935" s="3" t="s">
        <v>49</v>
      </c>
    </row>
    <row r="1936" spans="1:33" ht="38.25" x14ac:dyDescent="0.2">
      <c r="A1936" s="4" t="str">
        <f>HYPERLINK("http://www.patentics.cn/invokexml.do?sf=ShowPatent&amp;spn=CN1474527&amp;sv=f38be66da3607c9845460b5516ce5f6b","CN1474527")</f>
        <v>CN1474527</v>
      </c>
      <c r="B1936" s="2" t="s">
        <v>8773</v>
      </c>
      <c r="C1936" s="2" t="s">
        <v>8774</v>
      </c>
      <c r="D1936" s="2" t="s">
        <v>1819</v>
      </c>
      <c r="E1936" s="2" t="s">
        <v>38</v>
      </c>
      <c r="F1936" s="2" t="s">
        <v>8775</v>
      </c>
      <c r="G1936" s="2" t="s">
        <v>8596</v>
      </c>
      <c r="H1936" s="2" t="s">
        <v>1106</v>
      </c>
      <c r="I1936" s="2" t="s">
        <v>1106</v>
      </c>
      <c r="J1936" s="2" t="s">
        <v>8776</v>
      </c>
      <c r="K1936" s="2" t="s">
        <v>70</v>
      </c>
      <c r="L1936" s="2" t="s">
        <v>3121</v>
      </c>
      <c r="M1936" s="2" t="s">
        <v>43</v>
      </c>
      <c r="N1936" s="2" t="s">
        <v>45</v>
      </c>
      <c r="O1936" s="2">
        <v>7</v>
      </c>
      <c r="P1936" s="2">
        <v>25</v>
      </c>
      <c r="Q1936" s="2" t="s">
        <v>46</v>
      </c>
      <c r="R1936" s="2" t="s">
        <v>47</v>
      </c>
      <c r="S1936" s="2">
        <v>0</v>
      </c>
      <c r="T1936" s="2">
        <v>0</v>
      </c>
      <c r="U1936" s="2">
        <v>0</v>
      </c>
      <c r="V1936" s="2">
        <v>0</v>
      </c>
      <c r="W1936" s="2">
        <v>20</v>
      </c>
      <c r="X1936" s="2" t="s">
        <v>8777</v>
      </c>
      <c r="Y1936" s="2">
        <v>6</v>
      </c>
      <c r="Z1936" s="2">
        <v>14</v>
      </c>
      <c r="AA1936" s="2">
        <v>5</v>
      </c>
      <c r="AB1936" s="2">
        <v>3</v>
      </c>
      <c r="AC1936" s="2">
        <v>12</v>
      </c>
      <c r="AD1936" s="2">
        <v>9</v>
      </c>
      <c r="AE1936" s="2" t="s">
        <v>0</v>
      </c>
      <c r="AF1936" s="2">
        <v>1</v>
      </c>
      <c r="AG1936" s="2" t="s">
        <v>49</v>
      </c>
    </row>
    <row r="1937" spans="1:33" ht="76.5" x14ac:dyDescent="0.2">
      <c r="A1937" s="5" t="str">
        <f>HYPERLINK("http://www.patentics.cn/invokexml.do?sf=ShowPatent&amp;spn=US8391192&amp;sv=2e53d4441809cce8a5069f3c63a27bbc","US8391192")</f>
        <v>US8391192</v>
      </c>
      <c r="B1937" s="3" t="s">
        <v>8778</v>
      </c>
      <c r="C1937" s="3" t="s">
        <v>1119</v>
      </c>
      <c r="D1937" s="3" t="s">
        <v>52</v>
      </c>
      <c r="E1937" s="3" t="s">
        <v>52</v>
      </c>
      <c r="F1937" s="3" t="s">
        <v>8779</v>
      </c>
      <c r="G1937" s="3" t="s">
        <v>1219</v>
      </c>
      <c r="H1937" s="3" t="s">
        <v>874</v>
      </c>
      <c r="I1937" s="3" t="s">
        <v>8780</v>
      </c>
      <c r="J1937" s="3" t="s">
        <v>8781</v>
      </c>
      <c r="K1937" s="3" t="s">
        <v>84</v>
      </c>
      <c r="L1937" s="3" t="s">
        <v>163</v>
      </c>
      <c r="M1937" s="3" t="s">
        <v>82</v>
      </c>
      <c r="N1937" s="3" t="s">
        <v>3454</v>
      </c>
      <c r="O1937" s="3">
        <v>0</v>
      </c>
      <c r="P1937" s="3">
        <v>9</v>
      </c>
      <c r="Q1937" s="3" t="s">
        <v>60</v>
      </c>
      <c r="R1937" s="3" t="s">
        <v>61</v>
      </c>
      <c r="S1937" s="3">
        <v>23</v>
      </c>
      <c r="T1937" s="3">
        <v>3</v>
      </c>
      <c r="U1937" s="3">
        <v>20</v>
      </c>
      <c r="V1937" s="3">
        <v>12</v>
      </c>
      <c r="W1937" s="3">
        <v>1</v>
      </c>
      <c r="X1937" s="3" t="s">
        <v>147</v>
      </c>
      <c r="Y1937" s="3">
        <v>0</v>
      </c>
      <c r="Z1937" s="3">
        <v>1</v>
      </c>
      <c r="AA1937" s="3">
        <v>1</v>
      </c>
      <c r="AB1937" s="3">
        <v>1</v>
      </c>
      <c r="AC1937" s="3">
        <v>8</v>
      </c>
      <c r="AD1937" s="3">
        <v>6</v>
      </c>
      <c r="AE1937" s="3">
        <v>14</v>
      </c>
      <c r="AF1937" s="3" t="s">
        <v>0</v>
      </c>
      <c r="AG1937" s="3" t="s">
        <v>49</v>
      </c>
    </row>
    <row r="1938" spans="1:33" ht="38.25" x14ac:dyDescent="0.2">
      <c r="A1938" s="4" t="str">
        <f>HYPERLINK("http://www.patentics.cn/invokexml.do?sf=ShowPatent&amp;spn=CN1423493&amp;sv=b5bdd885bbad882738bdefa996509a05","CN1423493")</f>
        <v>CN1423493</v>
      </c>
      <c r="B1938" s="2" t="s">
        <v>8782</v>
      </c>
      <c r="C1938" s="2" t="s">
        <v>8783</v>
      </c>
      <c r="D1938" s="2" t="s">
        <v>1819</v>
      </c>
      <c r="E1938" s="2" t="s">
        <v>38</v>
      </c>
      <c r="F1938" s="2" t="s">
        <v>8784</v>
      </c>
      <c r="G1938" s="2" t="s">
        <v>8785</v>
      </c>
      <c r="H1938" s="2" t="s">
        <v>8786</v>
      </c>
      <c r="I1938" s="2" t="s">
        <v>8786</v>
      </c>
      <c r="J1938" s="2" t="s">
        <v>1823</v>
      </c>
      <c r="K1938" s="2" t="s">
        <v>43</v>
      </c>
      <c r="L1938" s="2" t="s">
        <v>6074</v>
      </c>
      <c r="M1938" s="2" t="s">
        <v>84</v>
      </c>
      <c r="N1938" s="2" t="s">
        <v>3818</v>
      </c>
      <c r="O1938" s="2">
        <v>10</v>
      </c>
      <c r="P1938" s="2">
        <v>41</v>
      </c>
      <c r="Q1938" s="2" t="s">
        <v>46</v>
      </c>
      <c r="R1938" s="2" t="s">
        <v>47</v>
      </c>
      <c r="S1938" s="2">
        <v>0</v>
      </c>
      <c r="T1938" s="2">
        <v>0</v>
      </c>
      <c r="U1938" s="2">
        <v>0</v>
      </c>
      <c r="V1938" s="2">
        <v>0</v>
      </c>
      <c r="W1938" s="2">
        <v>8</v>
      </c>
      <c r="X1938" s="2" t="s">
        <v>8787</v>
      </c>
      <c r="Y1938" s="2">
        <v>1</v>
      </c>
      <c r="Z1938" s="2">
        <v>7</v>
      </c>
      <c r="AA1938" s="2">
        <v>8</v>
      </c>
      <c r="AB1938" s="2">
        <v>1</v>
      </c>
      <c r="AC1938" s="2">
        <v>1</v>
      </c>
      <c r="AD1938" s="2">
        <v>1</v>
      </c>
      <c r="AE1938" s="2" t="s">
        <v>0</v>
      </c>
      <c r="AF1938" s="2">
        <v>1</v>
      </c>
      <c r="AG1938" s="2" t="s">
        <v>49</v>
      </c>
    </row>
    <row r="1939" spans="1:33" ht="25.5" x14ac:dyDescent="0.2">
      <c r="A1939" s="5" t="str">
        <f>HYPERLINK("http://www.patentics.cn/invokexml.do?sf=ShowPatent&amp;spn=CN102047598B&amp;sv=18b329c5f4fa0471988c36c6af1a7f29","CN102047598B")</f>
        <v>CN102047598B</v>
      </c>
      <c r="B1939" s="3" t="s">
        <v>8788</v>
      </c>
      <c r="C1939" s="3" t="s">
        <v>8789</v>
      </c>
      <c r="D1939" s="3" t="s">
        <v>338</v>
      </c>
      <c r="E1939" s="3" t="s">
        <v>338</v>
      </c>
      <c r="F1939" s="3" t="s">
        <v>8790</v>
      </c>
      <c r="G1939" s="3" t="s">
        <v>8790</v>
      </c>
      <c r="H1939" s="3" t="s">
        <v>8791</v>
      </c>
      <c r="I1939" s="3" t="s">
        <v>8792</v>
      </c>
      <c r="J1939" s="3" t="s">
        <v>8793</v>
      </c>
      <c r="K1939" s="3" t="s">
        <v>70</v>
      </c>
      <c r="L1939" s="3" t="s">
        <v>71</v>
      </c>
      <c r="M1939" s="3" t="s">
        <v>0</v>
      </c>
      <c r="N1939" s="3" t="s">
        <v>0</v>
      </c>
      <c r="O1939" s="3">
        <v>34</v>
      </c>
      <c r="P1939" s="3">
        <v>19</v>
      </c>
      <c r="Q1939" s="3" t="s">
        <v>60</v>
      </c>
      <c r="R1939" s="3" t="s">
        <v>61</v>
      </c>
      <c r="S1939" s="3">
        <v>3</v>
      </c>
      <c r="T1939" s="3">
        <v>0</v>
      </c>
      <c r="U1939" s="3">
        <v>3</v>
      </c>
      <c r="V1939" s="3">
        <v>2</v>
      </c>
      <c r="W1939" s="3">
        <v>0</v>
      </c>
      <c r="X1939" s="3" t="s">
        <v>147</v>
      </c>
      <c r="Y1939" s="3">
        <v>0</v>
      </c>
      <c r="Z1939" s="3">
        <v>0</v>
      </c>
      <c r="AA1939" s="3">
        <v>0</v>
      </c>
      <c r="AB1939" s="3">
        <v>0</v>
      </c>
      <c r="AC1939" s="3">
        <v>15</v>
      </c>
      <c r="AD1939" s="3">
        <v>9</v>
      </c>
      <c r="AE1939" s="3">
        <v>14</v>
      </c>
      <c r="AF1939" s="3" t="s">
        <v>0</v>
      </c>
      <c r="AG1939" s="3" t="s">
        <v>49</v>
      </c>
    </row>
    <row r="1940" spans="1:33" ht="25.5" x14ac:dyDescent="0.2">
      <c r="A1940" s="4" t="str">
        <f>HYPERLINK("http://www.patentics.cn/invokexml.do?sf=ShowPatent&amp;spn=CN1413036&amp;sv=5e85333d8790c882b13f3eea8dcb75d0","CN1413036")</f>
        <v>CN1413036</v>
      </c>
      <c r="B1940" s="2" t="s">
        <v>8794</v>
      </c>
      <c r="C1940" s="2" t="s">
        <v>8795</v>
      </c>
      <c r="D1940" s="2" t="s">
        <v>37</v>
      </c>
      <c r="E1940" s="2" t="s">
        <v>38</v>
      </c>
      <c r="F1940" s="2" t="s">
        <v>8796</v>
      </c>
      <c r="G1940" s="2" t="s">
        <v>8797</v>
      </c>
      <c r="H1940" s="2" t="s">
        <v>8798</v>
      </c>
      <c r="I1940" s="2" t="s">
        <v>8798</v>
      </c>
      <c r="J1940" s="2" t="s">
        <v>8799</v>
      </c>
      <c r="K1940" s="2" t="s">
        <v>43</v>
      </c>
      <c r="L1940" s="2" t="s">
        <v>377</v>
      </c>
      <c r="M1940" s="2" t="s">
        <v>43</v>
      </c>
      <c r="N1940" s="2" t="s">
        <v>8666</v>
      </c>
      <c r="O1940" s="2">
        <v>5</v>
      </c>
      <c r="P1940" s="2">
        <v>12</v>
      </c>
      <c r="Q1940" s="2" t="s">
        <v>46</v>
      </c>
      <c r="R1940" s="2" t="s">
        <v>47</v>
      </c>
      <c r="S1940" s="2">
        <v>0</v>
      </c>
      <c r="T1940" s="2">
        <v>0</v>
      </c>
      <c r="U1940" s="2">
        <v>0</v>
      </c>
      <c r="V1940" s="2">
        <v>0</v>
      </c>
      <c r="W1940" s="2">
        <v>4</v>
      </c>
      <c r="X1940" s="2" t="s">
        <v>8800</v>
      </c>
      <c r="Y1940" s="2">
        <v>0</v>
      </c>
      <c r="Z1940" s="2">
        <v>4</v>
      </c>
      <c r="AA1940" s="2">
        <v>3</v>
      </c>
      <c r="AB1940" s="2">
        <v>2</v>
      </c>
      <c r="AC1940" s="2">
        <v>1</v>
      </c>
      <c r="AD1940" s="2">
        <v>1</v>
      </c>
      <c r="AE1940" s="2" t="s">
        <v>0</v>
      </c>
      <c r="AF1940" s="2">
        <v>1</v>
      </c>
      <c r="AG1940" s="2" t="s">
        <v>49</v>
      </c>
    </row>
    <row r="1941" spans="1:33" ht="51" x14ac:dyDescent="0.2">
      <c r="A1941" s="5" t="str">
        <f>HYPERLINK("http://www.patentics.cn/invokexml.do?sf=ShowPatent&amp;spn=CN101641972B&amp;sv=371ab14891aec5fe78b1a932d5559fca","CN101641972B")</f>
        <v>CN101641972B</v>
      </c>
      <c r="B1941" s="3" t="s">
        <v>8801</v>
      </c>
      <c r="C1941" s="3" t="s">
        <v>8802</v>
      </c>
      <c r="D1941" s="3" t="s">
        <v>338</v>
      </c>
      <c r="E1941" s="3" t="s">
        <v>338</v>
      </c>
      <c r="F1941" s="3" t="s">
        <v>8803</v>
      </c>
      <c r="G1941" s="3" t="s">
        <v>8747</v>
      </c>
      <c r="H1941" s="3" t="s">
        <v>8804</v>
      </c>
      <c r="I1941" s="3" t="s">
        <v>8805</v>
      </c>
      <c r="J1941" s="3" t="s">
        <v>8748</v>
      </c>
      <c r="K1941" s="3" t="s">
        <v>82</v>
      </c>
      <c r="L1941" s="3" t="s">
        <v>1767</v>
      </c>
      <c r="M1941" s="3" t="s">
        <v>0</v>
      </c>
      <c r="N1941" s="3" t="s">
        <v>0</v>
      </c>
      <c r="O1941" s="3">
        <v>26</v>
      </c>
      <c r="P1941" s="3">
        <v>12</v>
      </c>
      <c r="Q1941" s="3" t="s">
        <v>60</v>
      </c>
      <c r="R1941" s="3" t="s">
        <v>61</v>
      </c>
      <c r="S1941" s="3">
        <v>1</v>
      </c>
      <c r="T1941" s="3">
        <v>0</v>
      </c>
      <c r="U1941" s="3">
        <v>1</v>
      </c>
      <c r="V1941" s="3">
        <v>1</v>
      </c>
      <c r="W1941" s="3">
        <v>0</v>
      </c>
      <c r="X1941" s="3" t="s">
        <v>147</v>
      </c>
      <c r="Y1941" s="3">
        <v>0</v>
      </c>
      <c r="Z1941" s="3">
        <v>0</v>
      </c>
      <c r="AA1941" s="3">
        <v>0</v>
      </c>
      <c r="AB1941" s="3">
        <v>0</v>
      </c>
      <c r="AC1941" s="3">
        <v>19</v>
      </c>
      <c r="AD1941" s="3">
        <v>12</v>
      </c>
      <c r="AE1941" s="3">
        <v>14</v>
      </c>
      <c r="AF1941" s="3" t="s">
        <v>0</v>
      </c>
      <c r="AG1941" s="3" t="s">
        <v>755</v>
      </c>
    </row>
    <row r="1942" spans="1:33" ht="25.5" x14ac:dyDescent="0.2">
      <c r="A1942" s="4" t="str">
        <f>HYPERLINK("http://www.patentics.cn/invokexml.do?sf=ShowPatent&amp;spn=CN1395388&amp;sv=8f8814469b6c019fe19895ed6902d8ce","CN1395388")</f>
        <v>CN1395388</v>
      </c>
      <c r="B1942" s="2" t="s">
        <v>8806</v>
      </c>
      <c r="C1942" s="2" t="s">
        <v>8807</v>
      </c>
      <c r="D1942" s="2" t="s">
        <v>37</v>
      </c>
      <c r="E1942" s="2" t="s">
        <v>38</v>
      </c>
      <c r="F1942" s="2" t="s">
        <v>8808</v>
      </c>
      <c r="G1942" s="2" t="s">
        <v>8808</v>
      </c>
      <c r="H1942" s="2" t="s">
        <v>8809</v>
      </c>
      <c r="I1942" s="2" t="s">
        <v>8809</v>
      </c>
      <c r="J1942" s="2" t="s">
        <v>8810</v>
      </c>
      <c r="K1942" s="2" t="s">
        <v>58</v>
      </c>
      <c r="L1942" s="2" t="s">
        <v>4093</v>
      </c>
      <c r="M1942" s="2" t="s">
        <v>58</v>
      </c>
      <c r="N1942" s="2" t="s">
        <v>6017</v>
      </c>
      <c r="O1942" s="2">
        <v>4</v>
      </c>
      <c r="P1942" s="2">
        <v>26</v>
      </c>
      <c r="Q1942" s="2" t="s">
        <v>46</v>
      </c>
      <c r="R1942" s="2" t="s">
        <v>47</v>
      </c>
      <c r="S1942" s="2">
        <v>0</v>
      </c>
      <c r="T1942" s="2">
        <v>0</v>
      </c>
      <c r="U1942" s="2">
        <v>0</v>
      </c>
      <c r="V1942" s="2">
        <v>0</v>
      </c>
      <c r="W1942" s="2">
        <v>29</v>
      </c>
      <c r="X1942" s="2" t="s">
        <v>8811</v>
      </c>
      <c r="Y1942" s="2">
        <v>4</v>
      </c>
      <c r="Z1942" s="2">
        <v>25</v>
      </c>
      <c r="AA1942" s="2">
        <v>7</v>
      </c>
      <c r="AB1942" s="2">
        <v>3</v>
      </c>
      <c r="AC1942" s="2">
        <v>1</v>
      </c>
      <c r="AD1942" s="2">
        <v>1</v>
      </c>
      <c r="AE1942" s="2" t="s">
        <v>0</v>
      </c>
      <c r="AF1942" s="2">
        <v>1</v>
      </c>
      <c r="AG1942" s="2" t="s">
        <v>49</v>
      </c>
    </row>
    <row r="1943" spans="1:33" ht="25.5" x14ac:dyDescent="0.2">
      <c r="A1943" s="5" t="str">
        <f>HYPERLINK("http://www.patentics.cn/invokexml.do?sf=ShowPatent&amp;spn=CN101297574B&amp;sv=db16aa69b4d57a08490f7c0c5aa792d2","CN101297574B")</f>
        <v>CN101297574B</v>
      </c>
      <c r="B1943" s="3" t="s">
        <v>8812</v>
      </c>
      <c r="C1943" s="3" t="s">
        <v>8813</v>
      </c>
      <c r="D1943" s="3" t="s">
        <v>338</v>
      </c>
      <c r="E1943" s="3" t="s">
        <v>338</v>
      </c>
      <c r="F1943" s="3" t="s">
        <v>8814</v>
      </c>
      <c r="G1943" s="3" t="s">
        <v>8815</v>
      </c>
      <c r="H1943" s="3" t="s">
        <v>3096</v>
      </c>
      <c r="I1943" s="3" t="s">
        <v>8816</v>
      </c>
      <c r="J1943" s="3" t="s">
        <v>8817</v>
      </c>
      <c r="K1943" s="3" t="s">
        <v>82</v>
      </c>
      <c r="L1943" s="3" t="s">
        <v>1490</v>
      </c>
      <c r="M1943" s="3" t="s">
        <v>0</v>
      </c>
      <c r="N1943" s="3" t="s">
        <v>0</v>
      </c>
      <c r="O1943" s="3">
        <v>31</v>
      </c>
      <c r="P1943" s="3">
        <v>13</v>
      </c>
      <c r="Q1943" s="3" t="s">
        <v>60</v>
      </c>
      <c r="R1943" s="3" t="s">
        <v>61</v>
      </c>
      <c r="S1943" s="3">
        <v>4</v>
      </c>
      <c r="T1943" s="3">
        <v>0</v>
      </c>
      <c r="U1943" s="3">
        <v>4</v>
      </c>
      <c r="V1943" s="3">
        <v>2</v>
      </c>
      <c r="W1943" s="3">
        <v>0</v>
      </c>
      <c r="X1943" s="3" t="s">
        <v>147</v>
      </c>
      <c r="Y1943" s="3">
        <v>0</v>
      </c>
      <c r="Z1943" s="3">
        <v>0</v>
      </c>
      <c r="AA1943" s="3">
        <v>0</v>
      </c>
      <c r="AB1943" s="3">
        <v>0</v>
      </c>
      <c r="AC1943" s="3">
        <v>12</v>
      </c>
      <c r="AD1943" s="3">
        <v>9</v>
      </c>
      <c r="AE1943" s="3">
        <v>14</v>
      </c>
      <c r="AF1943" s="3" t="s">
        <v>0</v>
      </c>
      <c r="AG1943" s="3" t="s">
        <v>49</v>
      </c>
    </row>
    <row r="1944" spans="1:33" ht="25.5" x14ac:dyDescent="0.2">
      <c r="A1944" s="4" t="str">
        <f>HYPERLINK("http://www.patentics.cn/invokexml.do?sf=ShowPatent&amp;spn=CN1384427&amp;sv=1023782e0052aa67e6983bbda4cf9486","CN1384427")</f>
        <v>CN1384427</v>
      </c>
      <c r="B1944" s="2" t="s">
        <v>8818</v>
      </c>
      <c r="C1944" s="2" t="s">
        <v>8819</v>
      </c>
      <c r="D1944" s="2" t="s">
        <v>1819</v>
      </c>
      <c r="E1944" s="2" t="s">
        <v>38</v>
      </c>
      <c r="F1944" s="2" t="s">
        <v>8820</v>
      </c>
      <c r="G1944" s="2" t="s">
        <v>8821</v>
      </c>
      <c r="H1944" s="2" t="s">
        <v>8822</v>
      </c>
      <c r="I1944" s="2" t="s">
        <v>8822</v>
      </c>
      <c r="J1944" s="2" t="s">
        <v>8823</v>
      </c>
      <c r="K1944" s="2" t="s">
        <v>555</v>
      </c>
      <c r="L1944" s="2" t="s">
        <v>8824</v>
      </c>
      <c r="M1944" s="2" t="s">
        <v>555</v>
      </c>
      <c r="N1944" s="2" t="s">
        <v>8825</v>
      </c>
      <c r="O1944" s="2">
        <v>4</v>
      </c>
      <c r="P1944" s="2">
        <v>34</v>
      </c>
      <c r="Q1944" s="2" t="s">
        <v>46</v>
      </c>
      <c r="R1944" s="2" t="s">
        <v>47</v>
      </c>
      <c r="S1944" s="2">
        <v>0</v>
      </c>
      <c r="T1944" s="2">
        <v>0</v>
      </c>
      <c r="U1944" s="2">
        <v>0</v>
      </c>
      <c r="V1944" s="2">
        <v>0</v>
      </c>
      <c r="W1944" s="2">
        <v>12</v>
      </c>
      <c r="X1944" s="2" t="s">
        <v>1446</v>
      </c>
      <c r="Y1944" s="2">
        <v>1</v>
      </c>
      <c r="Z1944" s="2">
        <v>11</v>
      </c>
      <c r="AA1944" s="2">
        <v>11</v>
      </c>
      <c r="AB1944" s="2">
        <v>1</v>
      </c>
      <c r="AC1944" s="2">
        <v>1</v>
      </c>
      <c r="AD1944" s="2">
        <v>1</v>
      </c>
      <c r="AE1944" s="2" t="s">
        <v>0</v>
      </c>
      <c r="AF1944" s="2">
        <v>1</v>
      </c>
      <c r="AG1944" s="2" t="s">
        <v>49</v>
      </c>
    </row>
    <row r="1945" spans="1:33" ht="25.5" x14ac:dyDescent="0.2">
      <c r="A1945" s="5" t="str">
        <f>HYPERLINK("http://www.patentics.cn/invokexml.do?sf=ShowPatent&amp;spn=CN101416217B&amp;sv=254717b555811e8e4364406faf870a22","CN101416217B")</f>
        <v>CN101416217B</v>
      </c>
      <c r="B1945" s="3" t="s">
        <v>8826</v>
      </c>
      <c r="C1945" s="3" t="s">
        <v>8827</v>
      </c>
      <c r="D1945" s="3" t="s">
        <v>338</v>
      </c>
      <c r="E1945" s="3" t="s">
        <v>338</v>
      </c>
      <c r="F1945" s="3" t="s">
        <v>8828</v>
      </c>
      <c r="G1945" s="3" t="s">
        <v>8828</v>
      </c>
      <c r="H1945" s="3" t="s">
        <v>8829</v>
      </c>
      <c r="I1945" s="3" t="s">
        <v>8399</v>
      </c>
      <c r="J1945" s="3" t="s">
        <v>8830</v>
      </c>
      <c r="K1945" s="3" t="s">
        <v>8831</v>
      </c>
      <c r="L1945" s="3" t="s">
        <v>8832</v>
      </c>
      <c r="M1945" s="3" t="s">
        <v>0</v>
      </c>
      <c r="N1945" s="3" t="s">
        <v>0</v>
      </c>
      <c r="O1945" s="3">
        <v>16</v>
      </c>
      <c r="P1945" s="3">
        <v>6</v>
      </c>
      <c r="Q1945" s="3" t="s">
        <v>60</v>
      </c>
      <c r="R1945" s="3" t="s">
        <v>61</v>
      </c>
      <c r="S1945" s="3">
        <v>3</v>
      </c>
      <c r="T1945" s="3">
        <v>0</v>
      </c>
      <c r="U1945" s="3">
        <v>3</v>
      </c>
      <c r="V1945" s="3">
        <v>2</v>
      </c>
      <c r="W1945" s="3">
        <v>0</v>
      </c>
      <c r="X1945" s="3" t="s">
        <v>147</v>
      </c>
      <c r="Y1945" s="3">
        <v>0</v>
      </c>
      <c r="Z1945" s="3">
        <v>0</v>
      </c>
      <c r="AA1945" s="3">
        <v>0</v>
      </c>
      <c r="AB1945" s="3">
        <v>0</v>
      </c>
      <c r="AC1945" s="3">
        <v>10</v>
      </c>
      <c r="AD1945" s="3">
        <v>6</v>
      </c>
      <c r="AE1945" s="3">
        <v>14</v>
      </c>
      <c r="AF1945" s="3" t="s">
        <v>0</v>
      </c>
      <c r="AG1945" s="3" t="s">
        <v>49</v>
      </c>
    </row>
    <row r="1946" spans="1:33" ht="25.5" x14ac:dyDescent="0.2">
      <c r="A1946" s="4" t="str">
        <f>HYPERLINK("http://www.patentics.cn/invokexml.do?sf=ShowPatent&amp;spn=CN1377150&amp;sv=d9c9f5cd30dfb0185f330f14101751e5","CN1377150")</f>
        <v>CN1377150</v>
      </c>
      <c r="B1946" s="2" t="s">
        <v>8833</v>
      </c>
      <c r="C1946" s="2" t="s">
        <v>8834</v>
      </c>
      <c r="D1946" s="2" t="s">
        <v>37</v>
      </c>
      <c r="E1946" s="2" t="s">
        <v>38</v>
      </c>
      <c r="F1946" s="2" t="s">
        <v>8835</v>
      </c>
      <c r="G1946" s="2" t="s">
        <v>8835</v>
      </c>
      <c r="H1946" s="2" t="s">
        <v>8836</v>
      </c>
      <c r="I1946" s="2" t="s">
        <v>8836</v>
      </c>
      <c r="J1946" s="2" t="s">
        <v>8837</v>
      </c>
      <c r="K1946" s="2" t="s">
        <v>70</v>
      </c>
      <c r="L1946" s="2" t="s">
        <v>3121</v>
      </c>
      <c r="M1946" s="2" t="s">
        <v>43</v>
      </c>
      <c r="N1946" s="2" t="s">
        <v>8838</v>
      </c>
      <c r="O1946" s="2">
        <v>2</v>
      </c>
      <c r="P1946" s="2">
        <v>40</v>
      </c>
      <c r="Q1946" s="2" t="s">
        <v>46</v>
      </c>
      <c r="R1946" s="2" t="s">
        <v>47</v>
      </c>
      <c r="S1946" s="2">
        <v>0</v>
      </c>
      <c r="T1946" s="2">
        <v>0</v>
      </c>
      <c r="U1946" s="2">
        <v>0</v>
      </c>
      <c r="V1946" s="2">
        <v>0</v>
      </c>
      <c r="W1946" s="2">
        <v>10</v>
      </c>
      <c r="X1946" s="2" t="s">
        <v>8839</v>
      </c>
      <c r="Y1946" s="2">
        <v>3</v>
      </c>
      <c r="Z1946" s="2">
        <v>7</v>
      </c>
      <c r="AA1946" s="2">
        <v>4</v>
      </c>
      <c r="AB1946" s="2">
        <v>2</v>
      </c>
      <c r="AC1946" s="2">
        <v>1</v>
      </c>
      <c r="AD1946" s="2">
        <v>1</v>
      </c>
      <c r="AE1946" s="2" t="s">
        <v>0</v>
      </c>
      <c r="AF1946" s="2">
        <v>1</v>
      </c>
      <c r="AG1946" s="2" t="s">
        <v>755</v>
      </c>
    </row>
    <row r="1947" spans="1:33" ht="25.5" x14ac:dyDescent="0.2">
      <c r="A1947" s="5" t="str">
        <f>HYPERLINK("http://www.patentics.cn/invokexml.do?sf=ShowPatent&amp;spn=CN100593349C&amp;sv=fbf964feb7e9e32fbe71245613f7fb8a","CN100593349C")</f>
        <v>CN100593349C</v>
      </c>
      <c r="B1947" s="3" t="s">
        <v>8840</v>
      </c>
      <c r="C1947" s="3" t="s">
        <v>8841</v>
      </c>
      <c r="D1947" s="3" t="s">
        <v>338</v>
      </c>
      <c r="E1947" s="3" t="s">
        <v>338</v>
      </c>
      <c r="F1947" s="3" t="s">
        <v>8842</v>
      </c>
      <c r="G1947" s="3" t="s">
        <v>8843</v>
      </c>
      <c r="H1947" s="3" t="s">
        <v>8844</v>
      </c>
      <c r="I1947" s="3" t="s">
        <v>8845</v>
      </c>
      <c r="J1947" s="3" t="s">
        <v>6395</v>
      </c>
      <c r="K1947" s="3" t="s">
        <v>43</v>
      </c>
      <c r="L1947" s="3" t="s">
        <v>2591</v>
      </c>
      <c r="M1947" s="3" t="s">
        <v>0</v>
      </c>
      <c r="N1947" s="3" t="s">
        <v>0</v>
      </c>
      <c r="O1947" s="3">
        <v>46</v>
      </c>
      <c r="P1947" s="3">
        <v>14</v>
      </c>
      <c r="Q1947" s="3" t="s">
        <v>60</v>
      </c>
      <c r="R1947" s="3" t="s">
        <v>61</v>
      </c>
      <c r="S1947" s="3">
        <v>4</v>
      </c>
      <c r="T1947" s="3">
        <v>0</v>
      </c>
      <c r="U1947" s="3">
        <v>4</v>
      </c>
      <c r="V1947" s="3">
        <v>3</v>
      </c>
      <c r="W1947" s="3">
        <v>0</v>
      </c>
      <c r="X1947" s="3" t="s">
        <v>147</v>
      </c>
      <c r="Y1947" s="3">
        <v>0</v>
      </c>
      <c r="Z1947" s="3">
        <v>0</v>
      </c>
      <c r="AA1947" s="3">
        <v>0</v>
      </c>
      <c r="AB1947" s="3">
        <v>0</v>
      </c>
      <c r="AC1947" s="3">
        <v>23</v>
      </c>
      <c r="AD1947" s="3">
        <v>12</v>
      </c>
      <c r="AE1947" s="3">
        <v>14</v>
      </c>
      <c r="AF1947" s="3" t="s">
        <v>0</v>
      </c>
      <c r="AG1947" s="3" t="s">
        <v>49</v>
      </c>
    </row>
    <row r="1948" spans="1:33" ht="25.5" x14ac:dyDescent="0.2">
      <c r="A1948" s="4" t="str">
        <f>HYPERLINK("http://www.patentics.cn/invokexml.do?sf=ShowPatent&amp;spn=CN1360453&amp;sv=9bf3226f247e7d6de4406092b593cdb3","CN1360453")</f>
        <v>CN1360453</v>
      </c>
      <c r="B1948" s="2" t="s">
        <v>8846</v>
      </c>
      <c r="C1948" s="2" t="s">
        <v>8847</v>
      </c>
      <c r="D1948" s="2" t="s">
        <v>37</v>
      </c>
      <c r="E1948" s="2" t="s">
        <v>38</v>
      </c>
      <c r="F1948" s="2" t="s">
        <v>8848</v>
      </c>
      <c r="G1948" s="2" t="s">
        <v>8848</v>
      </c>
      <c r="H1948" s="2" t="s">
        <v>6094</v>
      </c>
      <c r="I1948" s="2" t="s">
        <v>6094</v>
      </c>
      <c r="J1948" s="2" t="s">
        <v>6095</v>
      </c>
      <c r="K1948" s="2" t="s">
        <v>43</v>
      </c>
      <c r="L1948" s="2" t="s">
        <v>6074</v>
      </c>
      <c r="M1948" s="2" t="s">
        <v>43</v>
      </c>
      <c r="N1948" s="2" t="s">
        <v>2146</v>
      </c>
      <c r="O1948" s="2">
        <v>6</v>
      </c>
      <c r="P1948" s="2">
        <v>28</v>
      </c>
      <c r="Q1948" s="2" t="s">
        <v>46</v>
      </c>
      <c r="R1948" s="2" t="s">
        <v>47</v>
      </c>
      <c r="S1948" s="2">
        <v>0</v>
      </c>
      <c r="T1948" s="2">
        <v>0</v>
      </c>
      <c r="U1948" s="2">
        <v>0</v>
      </c>
      <c r="V1948" s="2">
        <v>0</v>
      </c>
      <c r="W1948" s="2">
        <v>3</v>
      </c>
      <c r="X1948" s="2" t="s">
        <v>2945</v>
      </c>
      <c r="Y1948" s="2">
        <v>0</v>
      </c>
      <c r="Z1948" s="2">
        <v>3</v>
      </c>
      <c r="AA1948" s="2">
        <v>3</v>
      </c>
      <c r="AB1948" s="2">
        <v>1</v>
      </c>
      <c r="AC1948" s="2">
        <v>1</v>
      </c>
      <c r="AD1948" s="2">
        <v>1</v>
      </c>
      <c r="AE1948" s="2" t="s">
        <v>0</v>
      </c>
      <c r="AF1948" s="2">
        <v>1</v>
      </c>
      <c r="AG1948" s="2" t="s">
        <v>49</v>
      </c>
    </row>
    <row r="1949" spans="1:33" ht="89.25" x14ac:dyDescent="0.2">
      <c r="A1949" s="5" t="str">
        <f>HYPERLINK("http://www.patentics.cn/invokexml.do?sf=ShowPatent&amp;spn=CN101502019B&amp;sv=7adabf340a0c298729547e7b6a7622a9","CN101502019B")</f>
        <v>CN101502019B</v>
      </c>
      <c r="B1949" s="3" t="s">
        <v>8849</v>
      </c>
      <c r="C1949" s="3" t="s">
        <v>8850</v>
      </c>
      <c r="D1949" s="3" t="s">
        <v>338</v>
      </c>
      <c r="E1949" s="3" t="s">
        <v>338</v>
      </c>
      <c r="F1949" s="3" t="s">
        <v>8851</v>
      </c>
      <c r="G1949" s="3" t="s">
        <v>8852</v>
      </c>
      <c r="H1949" s="3" t="s">
        <v>769</v>
      </c>
      <c r="I1949" s="3" t="s">
        <v>8853</v>
      </c>
      <c r="J1949" s="3" t="s">
        <v>5012</v>
      </c>
      <c r="K1949" s="3" t="s">
        <v>84</v>
      </c>
      <c r="L1949" s="3" t="s">
        <v>135</v>
      </c>
      <c r="M1949" s="3" t="s">
        <v>0</v>
      </c>
      <c r="N1949" s="3" t="s">
        <v>0</v>
      </c>
      <c r="O1949" s="3">
        <v>32</v>
      </c>
      <c r="P1949" s="3">
        <v>10</v>
      </c>
      <c r="Q1949" s="3" t="s">
        <v>60</v>
      </c>
      <c r="R1949" s="3" t="s">
        <v>61</v>
      </c>
      <c r="S1949" s="3">
        <v>3</v>
      </c>
      <c r="T1949" s="3">
        <v>0</v>
      </c>
      <c r="U1949" s="3">
        <v>3</v>
      </c>
      <c r="V1949" s="3">
        <v>3</v>
      </c>
      <c r="W1949" s="3">
        <v>0</v>
      </c>
      <c r="X1949" s="3" t="s">
        <v>147</v>
      </c>
      <c r="Y1949" s="3">
        <v>0</v>
      </c>
      <c r="Z1949" s="3">
        <v>0</v>
      </c>
      <c r="AA1949" s="3">
        <v>0</v>
      </c>
      <c r="AB1949" s="3">
        <v>0</v>
      </c>
      <c r="AC1949" s="3">
        <v>19</v>
      </c>
      <c r="AD1949" s="3">
        <v>7</v>
      </c>
      <c r="AE1949" s="3">
        <v>14</v>
      </c>
      <c r="AF1949" s="3" t="s">
        <v>0</v>
      </c>
      <c r="AG1949" s="3" t="s">
        <v>49</v>
      </c>
    </row>
    <row r="1950" spans="1:33" ht="25.5" x14ac:dyDescent="0.2">
      <c r="A1950" s="4" t="str">
        <f>HYPERLINK("http://www.patentics.cn/invokexml.do?sf=ShowPatent&amp;spn=CN1340928&amp;sv=b57c18d817b4767968099a4c5f02354c","CN1340928")</f>
        <v>CN1340928</v>
      </c>
      <c r="B1950" s="2" t="s">
        <v>8854</v>
      </c>
      <c r="C1950" s="2" t="s">
        <v>8855</v>
      </c>
      <c r="D1950" s="2" t="s">
        <v>37</v>
      </c>
      <c r="E1950" s="2" t="s">
        <v>38</v>
      </c>
      <c r="F1950" s="2" t="s">
        <v>8856</v>
      </c>
      <c r="G1950" s="2" t="s">
        <v>8857</v>
      </c>
      <c r="H1950" s="2" t="s">
        <v>8858</v>
      </c>
      <c r="I1950" s="2" t="s">
        <v>8858</v>
      </c>
      <c r="J1950" s="2" t="s">
        <v>8859</v>
      </c>
      <c r="K1950" s="2" t="s">
        <v>84</v>
      </c>
      <c r="L1950" s="2" t="s">
        <v>8860</v>
      </c>
      <c r="M1950" s="2" t="s">
        <v>555</v>
      </c>
      <c r="N1950" s="2" t="s">
        <v>8861</v>
      </c>
      <c r="O1950" s="2">
        <v>11</v>
      </c>
      <c r="P1950" s="2">
        <v>18</v>
      </c>
      <c r="Q1950" s="2" t="s">
        <v>46</v>
      </c>
      <c r="R1950" s="2" t="s">
        <v>47</v>
      </c>
      <c r="S1950" s="2">
        <v>2</v>
      </c>
      <c r="T1950" s="2">
        <v>0</v>
      </c>
      <c r="U1950" s="2">
        <v>2</v>
      </c>
      <c r="V1950" s="2">
        <v>2</v>
      </c>
      <c r="W1950" s="2">
        <v>18</v>
      </c>
      <c r="X1950" s="2" t="s">
        <v>8862</v>
      </c>
      <c r="Y1950" s="2">
        <v>4</v>
      </c>
      <c r="Z1950" s="2">
        <v>14</v>
      </c>
      <c r="AA1950" s="2">
        <v>8</v>
      </c>
      <c r="AB1950" s="2">
        <v>3</v>
      </c>
      <c r="AC1950" s="2">
        <v>1</v>
      </c>
      <c r="AD1950" s="2">
        <v>1</v>
      </c>
      <c r="AE1950" s="2" t="s">
        <v>0</v>
      </c>
      <c r="AF1950" s="2">
        <v>1</v>
      </c>
      <c r="AG1950" s="2" t="s">
        <v>49</v>
      </c>
    </row>
    <row r="1951" spans="1:33" x14ac:dyDescent="0.2">
      <c r="A1951" s="5" t="str">
        <f>HYPERLINK("http://www.patentics.cn/invokexml.do?sf=ShowPatent&amp;spn=CN101513016B&amp;sv=aeee61d80e9db93703ec8dc36b636c1c","CN101513016B")</f>
        <v>CN101513016B</v>
      </c>
      <c r="B1951" s="3" t="s">
        <v>8863</v>
      </c>
      <c r="C1951" s="3" t="s">
        <v>8864</v>
      </c>
      <c r="D1951" s="3" t="s">
        <v>338</v>
      </c>
      <c r="E1951" s="3" t="s">
        <v>338</v>
      </c>
      <c r="F1951" s="3" t="s">
        <v>8865</v>
      </c>
      <c r="G1951" s="3" t="s">
        <v>8865</v>
      </c>
      <c r="H1951" s="3" t="s">
        <v>8866</v>
      </c>
      <c r="I1951" s="3" t="s">
        <v>639</v>
      </c>
      <c r="J1951" s="3" t="s">
        <v>8793</v>
      </c>
      <c r="K1951" s="3" t="s">
        <v>58</v>
      </c>
      <c r="L1951" s="3" t="s">
        <v>3167</v>
      </c>
      <c r="M1951" s="3" t="s">
        <v>0</v>
      </c>
      <c r="N1951" s="3" t="s">
        <v>0</v>
      </c>
      <c r="O1951" s="3">
        <v>48</v>
      </c>
      <c r="P1951" s="3">
        <v>16</v>
      </c>
      <c r="Q1951" s="3" t="s">
        <v>60</v>
      </c>
      <c r="R1951" s="3" t="s">
        <v>61</v>
      </c>
      <c r="S1951" s="3">
        <v>1</v>
      </c>
      <c r="T1951" s="3">
        <v>0</v>
      </c>
      <c r="U1951" s="3">
        <v>1</v>
      </c>
      <c r="V1951" s="3">
        <v>1</v>
      </c>
      <c r="W1951" s="3">
        <v>0</v>
      </c>
      <c r="X1951" s="3" t="s">
        <v>147</v>
      </c>
      <c r="Y1951" s="3">
        <v>0</v>
      </c>
      <c r="Z1951" s="3">
        <v>0</v>
      </c>
      <c r="AA1951" s="3">
        <v>0</v>
      </c>
      <c r="AB1951" s="3">
        <v>0</v>
      </c>
      <c r="AC1951" s="3">
        <v>11</v>
      </c>
      <c r="AD1951" s="3">
        <v>7</v>
      </c>
      <c r="AE1951" s="3">
        <v>14</v>
      </c>
      <c r="AF1951" s="3" t="s">
        <v>0</v>
      </c>
      <c r="AG1951" s="3" t="s">
        <v>49</v>
      </c>
    </row>
    <row r="1952" spans="1:33" ht="25.5" x14ac:dyDescent="0.2">
      <c r="A1952" s="4" t="str">
        <f>HYPERLINK("http://www.patentics.cn/invokexml.do?sf=ShowPatent&amp;spn=CN1306350&amp;sv=ba21c40ec80a469ab29db49bc8be7e6f","CN1306350")</f>
        <v>CN1306350</v>
      </c>
      <c r="B1952" s="2" t="s">
        <v>8867</v>
      </c>
      <c r="C1952" s="2" t="s">
        <v>8868</v>
      </c>
      <c r="D1952" s="2" t="s">
        <v>37</v>
      </c>
      <c r="E1952" s="2" t="s">
        <v>38</v>
      </c>
      <c r="F1952" s="2" t="s">
        <v>8869</v>
      </c>
      <c r="G1952" s="2" t="s">
        <v>8870</v>
      </c>
      <c r="H1952" s="2" t="s">
        <v>8871</v>
      </c>
      <c r="I1952" s="2" t="s">
        <v>8871</v>
      </c>
      <c r="J1952" s="2" t="s">
        <v>8872</v>
      </c>
      <c r="K1952" s="2" t="s">
        <v>84</v>
      </c>
      <c r="L1952" s="2" t="s">
        <v>8873</v>
      </c>
      <c r="M1952" s="2" t="s">
        <v>58</v>
      </c>
      <c r="N1952" s="2" t="s">
        <v>8874</v>
      </c>
      <c r="O1952" s="2">
        <v>3</v>
      </c>
      <c r="P1952" s="2">
        <v>14</v>
      </c>
      <c r="Q1952" s="2" t="s">
        <v>46</v>
      </c>
      <c r="R1952" s="2" t="s">
        <v>47</v>
      </c>
      <c r="S1952" s="2">
        <v>0</v>
      </c>
      <c r="T1952" s="2">
        <v>0</v>
      </c>
      <c r="U1952" s="2">
        <v>0</v>
      </c>
      <c r="V1952" s="2">
        <v>0</v>
      </c>
      <c r="W1952" s="2">
        <v>5</v>
      </c>
      <c r="X1952" s="2" t="s">
        <v>8875</v>
      </c>
      <c r="Y1952" s="2">
        <v>2</v>
      </c>
      <c r="Z1952" s="2">
        <v>3</v>
      </c>
      <c r="AA1952" s="2">
        <v>4</v>
      </c>
      <c r="AB1952" s="2">
        <v>2</v>
      </c>
      <c r="AC1952" s="2">
        <v>1</v>
      </c>
      <c r="AD1952" s="2">
        <v>1</v>
      </c>
      <c r="AE1952" s="2" t="s">
        <v>0</v>
      </c>
      <c r="AF1952" s="2">
        <v>1</v>
      </c>
      <c r="AG1952" s="2" t="s">
        <v>755</v>
      </c>
    </row>
    <row r="1953" spans="1:33" ht="38.25" x14ac:dyDescent="0.2">
      <c r="A1953" s="5" t="str">
        <f>HYPERLINK("http://www.patentics.cn/invokexml.do?sf=ShowPatent&amp;spn=US9622246&amp;sv=3b2464ab382849da53cff1a58a27a6e5","US9622246")</f>
        <v>US9622246</v>
      </c>
      <c r="B1953" s="3" t="s">
        <v>4102</v>
      </c>
      <c r="C1953" s="3" t="s">
        <v>4090</v>
      </c>
      <c r="D1953" s="3" t="s">
        <v>52</v>
      </c>
      <c r="E1953" s="3" t="s">
        <v>52</v>
      </c>
      <c r="F1953" s="3" t="s">
        <v>4091</v>
      </c>
      <c r="G1953" s="3" t="s">
        <v>2871</v>
      </c>
      <c r="H1953" s="3" t="s">
        <v>0</v>
      </c>
      <c r="I1953" s="3" t="s">
        <v>4103</v>
      </c>
      <c r="J1953" s="3" t="s">
        <v>3388</v>
      </c>
      <c r="K1953" s="3" t="s">
        <v>70</v>
      </c>
      <c r="L1953" s="3" t="s">
        <v>71</v>
      </c>
      <c r="M1953" s="3" t="s">
        <v>82</v>
      </c>
      <c r="N1953" s="3" t="s">
        <v>4104</v>
      </c>
      <c r="O1953" s="3">
        <v>0</v>
      </c>
      <c r="P1953" s="3">
        <v>11</v>
      </c>
      <c r="Q1953" s="3" t="s">
        <v>60</v>
      </c>
      <c r="R1953" s="3" t="s">
        <v>61</v>
      </c>
      <c r="S1953" s="3">
        <v>78</v>
      </c>
      <c r="T1953" s="3">
        <v>23</v>
      </c>
      <c r="U1953" s="3">
        <v>55</v>
      </c>
      <c r="V1953" s="3">
        <v>30</v>
      </c>
      <c r="W1953" s="3">
        <v>0</v>
      </c>
      <c r="X1953" s="3" t="s">
        <v>147</v>
      </c>
      <c r="Y1953" s="3">
        <v>0</v>
      </c>
      <c r="Z1953" s="3">
        <v>0</v>
      </c>
      <c r="AA1953" s="3">
        <v>0</v>
      </c>
      <c r="AB1953" s="3">
        <v>0</v>
      </c>
      <c r="AC1953" s="3">
        <v>0</v>
      </c>
      <c r="AD1953" s="3">
        <v>0</v>
      </c>
      <c r="AE1953" s="3">
        <v>14</v>
      </c>
      <c r="AF1953" s="3" t="s">
        <v>0</v>
      </c>
      <c r="AG1953" s="3" t="s">
        <v>49</v>
      </c>
    </row>
    <row r="1954" spans="1:33" ht="38.25" x14ac:dyDescent="0.2">
      <c r="A1954" s="4" t="str">
        <f>HYPERLINK("http://www.patentics.cn/invokexml.do?sf=ShowPatent&amp;spn=CN1288316&amp;sv=30192cac01d18eeeefc0e00d58079ba1","CN1288316")</f>
        <v>CN1288316</v>
      </c>
      <c r="B1954" s="2" t="s">
        <v>8876</v>
      </c>
      <c r="C1954" s="2" t="s">
        <v>8877</v>
      </c>
      <c r="D1954" s="2" t="s">
        <v>37</v>
      </c>
      <c r="E1954" s="2" t="s">
        <v>38</v>
      </c>
      <c r="F1954" s="2" t="s">
        <v>8878</v>
      </c>
      <c r="G1954" s="2" t="s">
        <v>8879</v>
      </c>
      <c r="H1954" s="2" t="s">
        <v>8880</v>
      </c>
      <c r="I1954" s="2" t="s">
        <v>8880</v>
      </c>
      <c r="J1954" s="2" t="s">
        <v>8881</v>
      </c>
      <c r="K1954" s="2" t="s">
        <v>58</v>
      </c>
      <c r="L1954" s="2" t="s">
        <v>4713</v>
      </c>
      <c r="M1954" s="2" t="s">
        <v>58</v>
      </c>
      <c r="N1954" s="2" t="s">
        <v>5806</v>
      </c>
      <c r="O1954" s="2">
        <v>2</v>
      </c>
      <c r="P1954" s="2">
        <v>37</v>
      </c>
      <c r="Q1954" s="2" t="s">
        <v>46</v>
      </c>
      <c r="R1954" s="2" t="s">
        <v>47</v>
      </c>
      <c r="S1954" s="2">
        <v>0</v>
      </c>
      <c r="T1954" s="2">
        <v>0</v>
      </c>
      <c r="U1954" s="2">
        <v>0</v>
      </c>
      <c r="V1954" s="2">
        <v>0</v>
      </c>
      <c r="W1954" s="2">
        <v>11</v>
      </c>
      <c r="X1954" s="2" t="s">
        <v>8882</v>
      </c>
      <c r="Y1954" s="2">
        <v>2</v>
      </c>
      <c r="Z1954" s="2">
        <v>9</v>
      </c>
      <c r="AA1954" s="2">
        <v>8</v>
      </c>
      <c r="AB1954" s="2">
        <v>2</v>
      </c>
      <c r="AC1954" s="2">
        <v>1</v>
      </c>
      <c r="AD1954" s="2">
        <v>1</v>
      </c>
      <c r="AE1954" s="2" t="s">
        <v>0</v>
      </c>
      <c r="AF1954" s="2">
        <v>1</v>
      </c>
      <c r="AG1954" s="2" t="s">
        <v>755</v>
      </c>
    </row>
    <row r="1955" spans="1:33" ht="76.5" x14ac:dyDescent="0.2">
      <c r="A1955" s="5" t="str">
        <f>HYPERLINK("http://www.patentics.cn/invokexml.do?sf=ShowPatent&amp;spn=CN1708999B&amp;sv=11486d0770e42949f03cebfe23293820","CN1708999B")</f>
        <v>CN1708999B</v>
      </c>
      <c r="B1955" s="3" t="s">
        <v>8883</v>
      </c>
      <c r="C1955" s="3" t="s">
        <v>8884</v>
      </c>
      <c r="D1955" s="3" t="s">
        <v>338</v>
      </c>
      <c r="E1955" s="3" t="s">
        <v>338</v>
      </c>
      <c r="F1955" s="3" t="s">
        <v>8885</v>
      </c>
      <c r="G1955" s="3" t="s">
        <v>8886</v>
      </c>
      <c r="H1955" s="3" t="s">
        <v>8887</v>
      </c>
      <c r="I1955" s="3" t="s">
        <v>8888</v>
      </c>
      <c r="J1955" s="3" t="s">
        <v>7079</v>
      </c>
      <c r="K1955" s="3" t="s">
        <v>82</v>
      </c>
      <c r="L1955" s="3" t="s">
        <v>226</v>
      </c>
      <c r="M1955" s="3" t="s">
        <v>0</v>
      </c>
      <c r="N1955" s="3" t="s">
        <v>0</v>
      </c>
      <c r="O1955" s="3">
        <v>36</v>
      </c>
      <c r="P1955" s="3">
        <v>9</v>
      </c>
      <c r="Q1955" s="3" t="s">
        <v>60</v>
      </c>
      <c r="R1955" s="3" t="s">
        <v>61</v>
      </c>
      <c r="S1955" s="3">
        <v>5</v>
      </c>
      <c r="T1955" s="3">
        <v>0</v>
      </c>
      <c r="U1955" s="3">
        <v>5</v>
      </c>
      <c r="V1955" s="3">
        <v>5</v>
      </c>
      <c r="W1955" s="3">
        <v>8</v>
      </c>
      <c r="X1955" s="3" t="s">
        <v>147</v>
      </c>
      <c r="Y1955" s="3">
        <v>0</v>
      </c>
      <c r="Z1955" s="3">
        <v>8</v>
      </c>
      <c r="AA1955" s="3">
        <v>0</v>
      </c>
      <c r="AB1955" s="3">
        <v>1</v>
      </c>
      <c r="AC1955" s="3">
        <v>85</v>
      </c>
      <c r="AD1955" s="3">
        <v>18</v>
      </c>
      <c r="AE1955" s="3">
        <v>14</v>
      </c>
      <c r="AF1955" s="3" t="s">
        <v>0</v>
      </c>
      <c r="AG1955" s="3" t="s">
        <v>49</v>
      </c>
    </row>
    <row r="1956" spans="1:33" ht="25.5" x14ac:dyDescent="0.2">
      <c r="A1956" s="4" t="str">
        <f>HYPERLINK("http://www.patentics.cn/invokexml.do?sf=ShowPatent&amp;spn=CN1286534&amp;sv=3a32fc4895dd24bb4445acf301cdb531","CN1286534")</f>
        <v>CN1286534</v>
      </c>
      <c r="B1956" s="2" t="s">
        <v>8889</v>
      </c>
      <c r="C1956" s="2" t="s">
        <v>8890</v>
      </c>
      <c r="D1956" s="2" t="s">
        <v>37</v>
      </c>
      <c r="E1956" s="2" t="s">
        <v>38</v>
      </c>
      <c r="F1956" s="2" t="s">
        <v>8891</v>
      </c>
      <c r="G1956" s="2" t="s">
        <v>8892</v>
      </c>
      <c r="H1956" s="2" t="s">
        <v>8893</v>
      </c>
      <c r="I1956" s="2" t="s">
        <v>8893</v>
      </c>
      <c r="J1956" s="2" t="s">
        <v>8894</v>
      </c>
      <c r="K1956" s="2" t="s">
        <v>84</v>
      </c>
      <c r="L1956" s="2" t="s">
        <v>2079</v>
      </c>
      <c r="M1956" s="2" t="s">
        <v>84</v>
      </c>
      <c r="N1956" s="2" t="s">
        <v>2604</v>
      </c>
      <c r="O1956" s="2">
        <v>4</v>
      </c>
      <c r="P1956" s="2">
        <v>32</v>
      </c>
      <c r="Q1956" s="2" t="s">
        <v>46</v>
      </c>
      <c r="R1956" s="2" t="s">
        <v>47</v>
      </c>
      <c r="S1956" s="2">
        <v>0</v>
      </c>
      <c r="T1956" s="2">
        <v>0</v>
      </c>
      <c r="U1956" s="2">
        <v>0</v>
      </c>
      <c r="V1956" s="2">
        <v>0</v>
      </c>
      <c r="W1956" s="2">
        <v>8</v>
      </c>
      <c r="X1956" s="2" t="s">
        <v>8895</v>
      </c>
      <c r="Y1956" s="2">
        <v>2</v>
      </c>
      <c r="Z1956" s="2">
        <v>6</v>
      </c>
      <c r="AA1956" s="2">
        <v>7</v>
      </c>
      <c r="AB1956" s="2">
        <v>1</v>
      </c>
      <c r="AC1956" s="2">
        <v>1</v>
      </c>
      <c r="AD1956" s="2">
        <v>1</v>
      </c>
      <c r="AE1956" s="2" t="s">
        <v>0</v>
      </c>
      <c r="AF1956" s="2">
        <v>1</v>
      </c>
      <c r="AG1956" s="2" t="s">
        <v>755</v>
      </c>
    </row>
    <row r="1957" spans="1:33" ht="51" x14ac:dyDescent="0.2">
      <c r="A1957" s="5" t="str">
        <f>HYPERLINK("http://www.patentics.cn/invokexml.do?sf=ShowPatent&amp;spn=CN1714515B&amp;sv=cd47c91ad9dfe5d26a27a3f3dada8e0f","CN1714515B")</f>
        <v>CN1714515B</v>
      </c>
      <c r="B1957" s="3" t="s">
        <v>8896</v>
      </c>
      <c r="C1957" s="3" t="s">
        <v>8897</v>
      </c>
      <c r="D1957" s="3" t="s">
        <v>338</v>
      </c>
      <c r="E1957" s="3" t="s">
        <v>338</v>
      </c>
      <c r="F1957" s="3" t="s">
        <v>8898</v>
      </c>
      <c r="G1957" s="3" t="s">
        <v>8899</v>
      </c>
      <c r="H1957" s="3" t="s">
        <v>8900</v>
      </c>
      <c r="I1957" s="3" t="s">
        <v>8901</v>
      </c>
      <c r="J1957" s="3" t="s">
        <v>926</v>
      </c>
      <c r="K1957" s="3" t="s">
        <v>84</v>
      </c>
      <c r="L1957" s="3" t="s">
        <v>1300</v>
      </c>
      <c r="M1957" s="3" t="s">
        <v>0</v>
      </c>
      <c r="N1957" s="3" t="s">
        <v>0</v>
      </c>
      <c r="O1957" s="3">
        <v>27</v>
      </c>
      <c r="P1957" s="3">
        <v>19</v>
      </c>
      <c r="Q1957" s="3" t="s">
        <v>60</v>
      </c>
      <c r="R1957" s="3" t="s">
        <v>61</v>
      </c>
      <c r="S1957" s="3">
        <v>6</v>
      </c>
      <c r="T1957" s="3">
        <v>3</v>
      </c>
      <c r="U1957" s="3">
        <v>3</v>
      </c>
      <c r="V1957" s="3">
        <v>4</v>
      </c>
      <c r="W1957" s="3">
        <v>0</v>
      </c>
      <c r="X1957" s="3" t="s">
        <v>147</v>
      </c>
      <c r="Y1957" s="3">
        <v>0</v>
      </c>
      <c r="Z1957" s="3">
        <v>0</v>
      </c>
      <c r="AA1957" s="3">
        <v>0</v>
      </c>
      <c r="AB1957" s="3">
        <v>0</v>
      </c>
      <c r="AC1957" s="3">
        <v>8</v>
      </c>
      <c r="AD1957" s="3">
        <v>6</v>
      </c>
      <c r="AE1957" s="3">
        <v>14</v>
      </c>
      <c r="AF1957" s="3" t="s">
        <v>0</v>
      </c>
      <c r="AG1957" s="3" t="s">
        <v>755</v>
      </c>
    </row>
    <row r="1958" spans="1:33" ht="25.5" x14ac:dyDescent="0.2">
      <c r="A1958" s="4" t="str">
        <f>HYPERLINK("http://www.patentics.cn/invokexml.do?sf=ShowPatent&amp;spn=CN1286533&amp;sv=847a14257816a0c52ea199d2dbbb4599","CN1286533")</f>
        <v>CN1286533</v>
      </c>
      <c r="B1958" s="2" t="s">
        <v>8902</v>
      </c>
      <c r="C1958" s="2" t="s">
        <v>8903</v>
      </c>
      <c r="D1958" s="2" t="s">
        <v>37</v>
      </c>
      <c r="E1958" s="2" t="s">
        <v>38</v>
      </c>
      <c r="F1958" s="2" t="s">
        <v>8904</v>
      </c>
      <c r="G1958" s="2" t="s">
        <v>8904</v>
      </c>
      <c r="H1958" s="2" t="s">
        <v>8880</v>
      </c>
      <c r="I1958" s="2" t="s">
        <v>8880</v>
      </c>
      <c r="J1958" s="2" t="s">
        <v>8894</v>
      </c>
      <c r="K1958" s="2" t="s">
        <v>95</v>
      </c>
      <c r="L1958" s="2" t="s">
        <v>563</v>
      </c>
      <c r="M1958" s="2" t="s">
        <v>95</v>
      </c>
      <c r="N1958" s="2" t="s">
        <v>8400</v>
      </c>
      <c r="O1958" s="2">
        <v>10</v>
      </c>
      <c r="P1958" s="2">
        <v>9</v>
      </c>
      <c r="Q1958" s="2" t="s">
        <v>46</v>
      </c>
      <c r="R1958" s="2" t="s">
        <v>47</v>
      </c>
      <c r="S1958" s="2">
        <v>3</v>
      </c>
      <c r="T1958" s="2">
        <v>0</v>
      </c>
      <c r="U1958" s="2">
        <v>3</v>
      </c>
      <c r="V1958" s="2">
        <v>2</v>
      </c>
      <c r="W1958" s="2">
        <v>8</v>
      </c>
      <c r="X1958" s="2" t="s">
        <v>8905</v>
      </c>
      <c r="Y1958" s="2">
        <v>0</v>
      </c>
      <c r="Z1958" s="2">
        <v>8</v>
      </c>
      <c r="AA1958" s="2">
        <v>6</v>
      </c>
      <c r="AB1958" s="2">
        <v>3</v>
      </c>
      <c r="AC1958" s="2">
        <v>1</v>
      </c>
      <c r="AD1958" s="2">
        <v>1</v>
      </c>
      <c r="AE1958" s="2" t="s">
        <v>0</v>
      </c>
      <c r="AF1958" s="2">
        <v>1</v>
      </c>
      <c r="AG1958" s="2" t="s">
        <v>49</v>
      </c>
    </row>
    <row r="1959" spans="1:33" x14ac:dyDescent="0.2">
      <c r="A1959" s="5" t="str">
        <f>HYPERLINK("http://www.patentics.cn/invokexml.do?sf=ShowPatent&amp;spn=CN101394189B&amp;sv=69dba1ff40ccd68752d3e78b92b60bb4","CN101394189B")</f>
        <v>CN101394189B</v>
      </c>
      <c r="B1959" s="3" t="s">
        <v>8906</v>
      </c>
      <c r="C1959" s="3" t="s">
        <v>8907</v>
      </c>
      <c r="D1959" s="3" t="s">
        <v>338</v>
      </c>
      <c r="E1959" s="3" t="s">
        <v>338</v>
      </c>
      <c r="F1959" s="3" t="s">
        <v>8908</v>
      </c>
      <c r="G1959" s="3" t="s">
        <v>8909</v>
      </c>
      <c r="H1959" s="3" t="s">
        <v>8910</v>
      </c>
      <c r="I1959" s="3" t="s">
        <v>8911</v>
      </c>
      <c r="J1959" s="3" t="s">
        <v>6595</v>
      </c>
      <c r="K1959" s="3" t="s">
        <v>95</v>
      </c>
      <c r="L1959" s="3" t="s">
        <v>8912</v>
      </c>
      <c r="M1959" s="3" t="s">
        <v>0</v>
      </c>
      <c r="N1959" s="3" t="s">
        <v>0</v>
      </c>
      <c r="O1959" s="3">
        <v>23</v>
      </c>
      <c r="P1959" s="3">
        <v>13</v>
      </c>
      <c r="Q1959" s="3" t="s">
        <v>60</v>
      </c>
      <c r="R1959" s="3" t="s">
        <v>61</v>
      </c>
      <c r="S1959" s="3">
        <v>8</v>
      </c>
      <c r="T1959" s="3">
        <v>4</v>
      </c>
      <c r="U1959" s="3">
        <v>4</v>
      </c>
      <c r="V1959" s="3">
        <v>5</v>
      </c>
      <c r="W1959" s="3">
        <v>0</v>
      </c>
      <c r="X1959" s="3" t="s">
        <v>147</v>
      </c>
      <c r="Y1959" s="3">
        <v>0</v>
      </c>
      <c r="Z1959" s="3">
        <v>0</v>
      </c>
      <c r="AA1959" s="3">
        <v>0</v>
      </c>
      <c r="AB1959" s="3">
        <v>0</v>
      </c>
      <c r="AC1959" s="3">
        <v>12</v>
      </c>
      <c r="AD1959" s="3">
        <v>8</v>
      </c>
      <c r="AE1959" s="3">
        <v>14</v>
      </c>
      <c r="AF1959" s="3" t="s">
        <v>0</v>
      </c>
      <c r="AG1959" s="3" t="s">
        <v>49</v>
      </c>
    </row>
    <row r="1960" spans="1:33" ht="25.5" x14ac:dyDescent="0.2">
      <c r="A1960" s="4" t="str">
        <f>HYPERLINK("http://www.patentics.cn/invokexml.do?sf=ShowPatent&amp;spn=CN1278128&amp;sv=0663cbcc3be4f7233c0dc42e3559defc","CN1278128")</f>
        <v>CN1278128</v>
      </c>
      <c r="B1960" s="2" t="s">
        <v>8913</v>
      </c>
      <c r="C1960" s="2" t="s">
        <v>8914</v>
      </c>
      <c r="D1960" s="2" t="s">
        <v>1819</v>
      </c>
      <c r="E1960" s="2" t="s">
        <v>38</v>
      </c>
      <c r="F1960" s="2" t="s">
        <v>3117</v>
      </c>
      <c r="G1960" s="2" t="s">
        <v>3118</v>
      </c>
      <c r="H1960" s="2" t="s">
        <v>349</v>
      </c>
      <c r="I1960" s="2" t="s">
        <v>349</v>
      </c>
      <c r="J1960" s="2" t="s">
        <v>8915</v>
      </c>
      <c r="K1960" s="2" t="s">
        <v>70</v>
      </c>
      <c r="L1960" s="2" t="s">
        <v>3121</v>
      </c>
      <c r="M1960" s="2" t="s">
        <v>84</v>
      </c>
      <c r="N1960" s="2" t="s">
        <v>8599</v>
      </c>
      <c r="O1960" s="2">
        <v>12</v>
      </c>
      <c r="P1960" s="2">
        <v>17</v>
      </c>
      <c r="Q1960" s="2" t="s">
        <v>46</v>
      </c>
      <c r="R1960" s="2" t="s">
        <v>47</v>
      </c>
      <c r="S1960" s="2">
        <v>1</v>
      </c>
      <c r="T1960" s="2">
        <v>0</v>
      </c>
      <c r="U1960" s="2">
        <v>1</v>
      </c>
      <c r="V1960" s="2">
        <v>1</v>
      </c>
      <c r="W1960" s="2">
        <v>12</v>
      </c>
      <c r="X1960" s="2" t="s">
        <v>8916</v>
      </c>
      <c r="Y1960" s="2">
        <v>3</v>
      </c>
      <c r="Z1960" s="2">
        <v>9</v>
      </c>
      <c r="AA1960" s="2">
        <v>8</v>
      </c>
      <c r="AB1960" s="2">
        <v>2</v>
      </c>
      <c r="AC1960" s="2">
        <v>3</v>
      </c>
      <c r="AD1960" s="2">
        <v>2</v>
      </c>
      <c r="AE1960" s="2" t="s">
        <v>0</v>
      </c>
      <c r="AF1960" s="2">
        <v>1</v>
      </c>
      <c r="AG1960" s="2" t="s">
        <v>755</v>
      </c>
    </row>
    <row r="1961" spans="1:33" ht="89.25" x14ac:dyDescent="0.2">
      <c r="A1961" s="5" t="str">
        <f>HYPERLINK("http://www.patentics.cn/invokexml.do?sf=ShowPatent&amp;spn=CN100456649C&amp;sv=06b323957bf703ec9384b97ff7f7a8cb","CN100456649C")</f>
        <v>CN100456649C</v>
      </c>
      <c r="B1961" s="3" t="s">
        <v>3145</v>
      </c>
      <c r="C1961" s="3" t="s">
        <v>3146</v>
      </c>
      <c r="D1961" s="3" t="s">
        <v>338</v>
      </c>
      <c r="E1961" s="3" t="s">
        <v>338</v>
      </c>
      <c r="F1961" s="3" t="s">
        <v>3147</v>
      </c>
      <c r="G1961" s="3" t="s">
        <v>3148</v>
      </c>
      <c r="H1961" s="3" t="s">
        <v>3149</v>
      </c>
      <c r="I1961" s="3" t="s">
        <v>3150</v>
      </c>
      <c r="J1961" s="3" t="s">
        <v>1092</v>
      </c>
      <c r="K1961" s="3" t="s">
        <v>84</v>
      </c>
      <c r="L1961" s="3" t="s">
        <v>537</v>
      </c>
      <c r="M1961" s="3" t="s">
        <v>0</v>
      </c>
      <c r="N1961" s="3" t="s">
        <v>0</v>
      </c>
      <c r="O1961" s="3">
        <v>9</v>
      </c>
      <c r="P1961" s="3">
        <v>8</v>
      </c>
      <c r="Q1961" s="3" t="s">
        <v>60</v>
      </c>
      <c r="R1961" s="3" t="s">
        <v>61</v>
      </c>
      <c r="S1961" s="3">
        <v>6</v>
      </c>
      <c r="T1961" s="3">
        <v>1</v>
      </c>
      <c r="U1961" s="3">
        <v>5</v>
      </c>
      <c r="V1961" s="3">
        <v>4</v>
      </c>
      <c r="W1961" s="3">
        <v>0</v>
      </c>
      <c r="X1961" s="3" t="s">
        <v>147</v>
      </c>
      <c r="Y1961" s="3">
        <v>0</v>
      </c>
      <c r="Z1961" s="3">
        <v>0</v>
      </c>
      <c r="AA1961" s="3">
        <v>0</v>
      </c>
      <c r="AB1961" s="3">
        <v>0</v>
      </c>
      <c r="AC1961" s="3">
        <v>50</v>
      </c>
      <c r="AD1961" s="3">
        <v>14</v>
      </c>
      <c r="AE1961" s="3">
        <v>14</v>
      </c>
      <c r="AF1961" s="3" t="s">
        <v>0</v>
      </c>
      <c r="AG1961" s="3" t="s">
        <v>755</v>
      </c>
    </row>
    <row r="1962" spans="1:33" ht="25.5" x14ac:dyDescent="0.2">
      <c r="A1962" s="4" t="str">
        <f>HYPERLINK("http://www.patentics.cn/invokexml.do?sf=ShowPatent&amp;spn=CN1264262&amp;sv=b3fa594472df9b325ccca4b5742fa776","CN1264262")</f>
        <v>CN1264262</v>
      </c>
      <c r="B1962" s="2" t="s">
        <v>8917</v>
      </c>
      <c r="C1962" s="2" t="s">
        <v>8918</v>
      </c>
      <c r="D1962" s="2" t="s">
        <v>37</v>
      </c>
      <c r="E1962" s="2" t="s">
        <v>38</v>
      </c>
      <c r="F1962" s="2" t="s">
        <v>8879</v>
      </c>
      <c r="G1962" s="2" t="s">
        <v>8879</v>
      </c>
      <c r="H1962" s="2" t="s">
        <v>8893</v>
      </c>
      <c r="I1962" s="2" t="s">
        <v>8893</v>
      </c>
      <c r="J1962" s="2" t="s">
        <v>6127</v>
      </c>
      <c r="K1962" s="2" t="s">
        <v>43</v>
      </c>
      <c r="L1962" s="2" t="s">
        <v>5424</v>
      </c>
      <c r="M1962" s="2" t="s">
        <v>84</v>
      </c>
      <c r="N1962" s="2" t="s">
        <v>2604</v>
      </c>
      <c r="O1962" s="2">
        <v>5</v>
      </c>
      <c r="P1962" s="2">
        <v>33</v>
      </c>
      <c r="Q1962" s="2" t="s">
        <v>46</v>
      </c>
      <c r="R1962" s="2" t="s">
        <v>47</v>
      </c>
      <c r="S1962" s="2">
        <v>0</v>
      </c>
      <c r="T1962" s="2">
        <v>0</v>
      </c>
      <c r="U1962" s="2">
        <v>0</v>
      </c>
      <c r="V1962" s="2">
        <v>0</v>
      </c>
      <c r="W1962" s="2">
        <v>3</v>
      </c>
      <c r="X1962" s="2" t="s">
        <v>8919</v>
      </c>
      <c r="Y1962" s="2">
        <v>0</v>
      </c>
      <c r="Z1962" s="2">
        <v>3</v>
      </c>
      <c r="AA1962" s="2">
        <v>3</v>
      </c>
      <c r="AB1962" s="2">
        <v>1</v>
      </c>
      <c r="AC1962" s="2">
        <v>1</v>
      </c>
      <c r="AD1962" s="2">
        <v>1</v>
      </c>
      <c r="AE1962" s="2" t="s">
        <v>0</v>
      </c>
      <c r="AF1962" s="2">
        <v>1</v>
      </c>
      <c r="AG1962" s="2" t="s">
        <v>755</v>
      </c>
    </row>
    <row r="1963" spans="1:33" x14ac:dyDescent="0.2">
      <c r="A1963" s="5" t="str">
        <f>HYPERLINK("http://www.patentics.cn/invokexml.do?sf=ShowPatent&amp;spn=CN100552470C&amp;sv=7a2c2931fc6aaaf7767dc371cd112ec7","CN100552470C")</f>
        <v>CN100552470C</v>
      </c>
      <c r="B1963" s="3" t="s">
        <v>8920</v>
      </c>
      <c r="C1963" s="3" t="s">
        <v>8921</v>
      </c>
      <c r="D1963" s="3" t="s">
        <v>338</v>
      </c>
      <c r="E1963" s="3" t="s">
        <v>338</v>
      </c>
      <c r="F1963" s="3" t="s">
        <v>8922</v>
      </c>
      <c r="G1963" s="3" t="s">
        <v>8922</v>
      </c>
      <c r="H1963" s="3" t="s">
        <v>6134</v>
      </c>
      <c r="I1963" s="3" t="s">
        <v>8923</v>
      </c>
      <c r="J1963" s="3" t="s">
        <v>4251</v>
      </c>
      <c r="K1963" s="3" t="s">
        <v>1935</v>
      </c>
      <c r="L1963" s="3" t="s">
        <v>8924</v>
      </c>
      <c r="M1963" s="3" t="s">
        <v>0</v>
      </c>
      <c r="N1963" s="3" t="s">
        <v>0</v>
      </c>
      <c r="O1963" s="3">
        <v>19</v>
      </c>
      <c r="P1963" s="3">
        <v>21</v>
      </c>
      <c r="Q1963" s="3" t="s">
        <v>60</v>
      </c>
      <c r="R1963" s="3" t="s">
        <v>61</v>
      </c>
      <c r="S1963" s="3">
        <v>7</v>
      </c>
      <c r="T1963" s="3">
        <v>1</v>
      </c>
      <c r="U1963" s="3">
        <v>6</v>
      </c>
      <c r="V1963" s="3">
        <v>6</v>
      </c>
      <c r="W1963" s="3">
        <v>0</v>
      </c>
      <c r="X1963" s="3" t="s">
        <v>147</v>
      </c>
      <c r="Y1963" s="3">
        <v>0</v>
      </c>
      <c r="Z1963" s="3">
        <v>0</v>
      </c>
      <c r="AA1963" s="3">
        <v>0</v>
      </c>
      <c r="AB1963" s="3">
        <v>0</v>
      </c>
      <c r="AC1963" s="3">
        <v>14</v>
      </c>
      <c r="AD1963" s="3">
        <v>9</v>
      </c>
      <c r="AE1963" s="3">
        <v>14</v>
      </c>
      <c r="AF1963" s="3" t="s">
        <v>0</v>
      </c>
      <c r="AG1963" s="3" t="s">
        <v>755</v>
      </c>
    </row>
    <row r="1964" spans="1:33" ht="51" x14ac:dyDescent="0.2">
      <c r="A1964" s="4" t="str">
        <f>HYPERLINK("http://www.patentics.cn/invokexml.do?sf=ShowPatent&amp;spn=US20160183174&amp;sv=b8608e6118bedff1adc7225294cbe0dd","US20160183174")</f>
        <v>US20160183174</v>
      </c>
      <c r="B1964" s="2" t="s">
        <v>8925</v>
      </c>
      <c r="C1964" s="2" t="s">
        <v>8926</v>
      </c>
      <c r="D1964" s="2" t="s">
        <v>346</v>
      </c>
      <c r="E1964" s="2" t="s">
        <v>346</v>
      </c>
      <c r="F1964" s="2" t="s">
        <v>8927</v>
      </c>
      <c r="G1964" s="2" t="s">
        <v>8928</v>
      </c>
      <c r="H1964" s="2" t="s">
        <v>8929</v>
      </c>
      <c r="I1964" s="2" t="s">
        <v>8930</v>
      </c>
      <c r="J1964" s="2" t="s">
        <v>8931</v>
      </c>
      <c r="K1964" s="2" t="s">
        <v>82</v>
      </c>
      <c r="L1964" s="2" t="s">
        <v>3335</v>
      </c>
      <c r="M1964" s="2" t="s">
        <v>82</v>
      </c>
      <c r="N1964" s="2" t="s">
        <v>807</v>
      </c>
      <c r="O1964" s="2">
        <v>20</v>
      </c>
      <c r="P1964" s="2">
        <v>0</v>
      </c>
      <c r="Q1964" s="2" t="s">
        <v>352</v>
      </c>
      <c r="R1964" s="2" t="s">
        <v>47</v>
      </c>
      <c r="S1964" s="2">
        <v>0</v>
      </c>
      <c r="T1964" s="2">
        <v>0</v>
      </c>
      <c r="U1964" s="2">
        <v>0</v>
      </c>
      <c r="V1964" s="2">
        <v>0</v>
      </c>
      <c r="W1964" s="2">
        <v>2</v>
      </c>
      <c r="X1964" s="2" t="s">
        <v>403</v>
      </c>
      <c r="Y1964" s="2">
        <v>0</v>
      </c>
      <c r="Z1964" s="2">
        <v>2</v>
      </c>
      <c r="AA1964" s="2">
        <v>2</v>
      </c>
      <c r="AB1964" s="2">
        <v>1</v>
      </c>
      <c r="AC1964" s="2">
        <v>3</v>
      </c>
      <c r="AD1964" s="2">
        <v>4</v>
      </c>
      <c r="AE1964" s="2" t="s">
        <v>0</v>
      </c>
      <c r="AF1964" s="2">
        <v>1</v>
      </c>
      <c r="AG1964" s="2" t="s">
        <v>2231</v>
      </c>
    </row>
    <row r="1965" spans="1:33" ht="89.25" x14ac:dyDescent="0.2">
      <c r="A1965" s="5" t="str">
        <f>HYPERLINK("http://www.patentics.cn/invokexml.do?sf=ShowPatent&amp;spn=US9635624&amp;sv=e6cd0f998a31db720551f13bc12509d2","US9635624")</f>
        <v>US9635624</v>
      </c>
      <c r="B1965" s="3" t="s">
        <v>8932</v>
      </c>
      <c r="C1965" s="3" t="s">
        <v>8933</v>
      </c>
      <c r="D1965" s="3" t="s">
        <v>52</v>
      </c>
      <c r="E1965" s="3" t="s">
        <v>52</v>
      </c>
      <c r="F1965" s="3" t="s">
        <v>8934</v>
      </c>
      <c r="G1965" s="3" t="s">
        <v>1874</v>
      </c>
      <c r="H1965" s="3" t="s">
        <v>0</v>
      </c>
      <c r="I1965" s="3" t="s">
        <v>1235</v>
      </c>
      <c r="J1965" s="3" t="s">
        <v>1948</v>
      </c>
      <c r="K1965" s="3" t="s">
        <v>82</v>
      </c>
      <c r="L1965" s="3" t="s">
        <v>7929</v>
      </c>
      <c r="M1965" s="3" t="s">
        <v>82</v>
      </c>
      <c r="N1965" s="3" t="s">
        <v>8935</v>
      </c>
      <c r="O1965" s="3">
        <v>0</v>
      </c>
      <c r="P1965" s="3">
        <v>28</v>
      </c>
      <c r="Q1965" s="3" t="s">
        <v>60</v>
      </c>
      <c r="R1965" s="3" t="s">
        <v>61</v>
      </c>
      <c r="S1965" s="3">
        <v>46</v>
      </c>
      <c r="T1965" s="3">
        <v>4</v>
      </c>
      <c r="U1965" s="3">
        <v>42</v>
      </c>
      <c r="V1965" s="3">
        <v>19</v>
      </c>
      <c r="W1965" s="3">
        <v>0</v>
      </c>
      <c r="X1965" s="3" t="s">
        <v>147</v>
      </c>
      <c r="Y1965" s="3">
        <v>0</v>
      </c>
      <c r="Z1965" s="3">
        <v>0</v>
      </c>
      <c r="AA1965" s="3">
        <v>0</v>
      </c>
      <c r="AB1965" s="3">
        <v>0</v>
      </c>
      <c r="AC1965" s="3">
        <v>0</v>
      </c>
      <c r="AD1965" s="3">
        <v>0</v>
      </c>
      <c r="AE1965" s="3">
        <v>14</v>
      </c>
      <c r="AF1965" s="3" t="s">
        <v>0</v>
      </c>
      <c r="AG1965" s="3" t="s">
        <v>49</v>
      </c>
    </row>
    <row r="1966" spans="1:33" ht="51" x14ac:dyDescent="0.2">
      <c r="A1966" s="4" t="str">
        <f>HYPERLINK("http://www.patentics.cn/invokexml.do?sf=ShowPatent&amp;spn=US20160112177&amp;sv=05b52e8a7064c9b5b9e1ba94fb10796b","US20160112177")</f>
        <v>US20160112177</v>
      </c>
      <c r="B1966" s="2" t="s">
        <v>8936</v>
      </c>
      <c r="C1966" s="2" t="s">
        <v>8937</v>
      </c>
      <c r="D1966" s="2" t="s">
        <v>346</v>
      </c>
      <c r="E1966" s="2" t="s">
        <v>346</v>
      </c>
      <c r="F1966" s="2" t="s">
        <v>8938</v>
      </c>
      <c r="G1966" s="2" t="s">
        <v>8939</v>
      </c>
      <c r="H1966" s="2" t="s">
        <v>8940</v>
      </c>
      <c r="I1966" s="2" t="s">
        <v>6300</v>
      </c>
      <c r="J1966" s="2" t="s">
        <v>8941</v>
      </c>
      <c r="K1966" s="2" t="s">
        <v>58</v>
      </c>
      <c r="L1966" s="2" t="s">
        <v>188</v>
      </c>
      <c r="M1966" s="2" t="s">
        <v>58</v>
      </c>
      <c r="N1966" s="2" t="s">
        <v>8942</v>
      </c>
      <c r="O1966" s="2">
        <v>20</v>
      </c>
      <c r="P1966" s="2">
        <v>0</v>
      </c>
      <c r="Q1966" s="2" t="s">
        <v>352</v>
      </c>
      <c r="R1966" s="2" t="s">
        <v>47</v>
      </c>
      <c r="S1966" s="2">
        <v>0</v>
      </c>
      <c r="T1966" s="2">
        <v>0</v>
      </c>
      <c r="U1966" s="2">
        <v>0</v>
      </c>
      <c r="V1966" s="2">
        <v>0</v>
      </c>
      <c r="W1966" s="2">
        <v>1</v>
      </c>
      <c r="X1966" s="2" t="s">
        <v>1186</v>
      </c>
      <c r="Y1966" s="2">
        <v>0</v>
      </c>
      <c r="Z1966" s="2">
        <v>1</v>
      </c>
      <c r="AA1966" s="2">
        <v>1</v>
      </c>
      <c r="AB1966" s="2">
        <v>1</v>
      </c>
      <c r="AC1966" s="2">
        <v>3</v>
      </c>
      <c r="AD1966" s="2">
        <v>4</v>
      </c>
      <c r="AE1966" s="2" t="s">
        <v>0</v>
      </c>
      <c r="AF1966" s="2">
        <v>1</v>
      </c>
      <c r="AG1966" s="2" t="s">
        <v>2231</v>
      </c>
    </row>
    <row r="1967" spans="1:33" ht="102" x14ac:dyDescent="0.2">
      <c r="A1967" s="5" t="str">
        <f>HYPERLINK("http://www.patentics.cn/invokexml.do?sf=ShowPatent&amp;spn=US9537673&amp;sv=176d3321fbd15076f6bb8ac29986a895","US9537673")</f>
        <v>US9537673</v>
      </c>
      <c r="B1967" s="3" t="s">
        <v>8943</v>
      </c>
      <c r="C1967" s="3" t="s">
        <v>8944</v>
      </c>
      <c r="D1967" s="3" t="s">
        <v>52</v>
      </c>
      <c r="E1967" s="3" t="s">
        <v>52</v>
      </c>
      <c r="F1967" s="3" t="s">
        <v>8945</v>
      </c>
      <c r="G1967" s="3" t="s">
        <v>8946</v>
      </c>
      <c r="H1967" s="3" t="s">
        <v>8947</v>
      </c>
      <c r="I1967" s="3" t="s">
        <v>696</v>
      </c>
      <c r="J1967" s="3" t="s">
        <v>8948</v>
      </c>
      <c r="K1967" s="3" t="s">
        <v>58</v>
      </c>
      <c r="L1967" s="3" t="s">
        <v>5419</v>
      </c>
      <c r="M1967" s="3" t="s">
        <v>58</v>
      </c>
      <c r="N1967" s="3" t="s">
        <v>8949</v>
      </c>
      <c r="O1967" s="3">
        <v>0</v>
      </c>
      <c r="P1967" s="3">
        <v>10</v>
      </c>
      <c r="Q1967" s="3" t="s">
        <v>60</v>
      </c>
      <c r="R1967" s="3" t="s">
        <v>61</v>
      </c>
      <c r="S1967" s="3">
        <v>16</v>
      </c>
      <c r="T1967" s="3">
        <v>5</v>
      </c>
      <c r="U1967" s="3">
        <v>11</v>
      </c>
      <c r="V1967" s="3">
        <v>9</v>
      </c>
      <c r="W1967" s="3">
        <v>0</v>
      </c>
      <c r="X1967" s="3" t="s">
        <v>147</v>
      </c>
      <c r="Y1967" s="3">
        <v>0</v>
      </c>
      <c r="Z1967" s="3">
        <v>0</v>
      </c>
      <c r="AA1967" s="3">
        <v>0</v>
      </c>
      <c r="AB1967" s="3">
        <v>0</v>
      </c>
      <c r="AC1967" s="3">
        <v>6</v>
      </c>
      <c r="AD1967" s="3">
        <v>4</v>
      </c>
      <c r="AE1967" s="3">
        <v>14</v>
      </c>
      <c r="AF1967" s="3" t="s">
        <v>0</v>
      </c>
      <c r="AG1967" s="3" t="s">
        <v>49</v>
      </c>
    </row>
    <row r="1968" spans="1:33" ht="114.75" x14ac:dyDescent="0.2">
      <c r="A1968" s="4" t="str">
        <f>HYPERLINK("http://www.patentics.cn/invokexml.do?sf=ShowPatent&amp;spn=US20150281926&amp;sv=d66c1333a15bf7cbed59ed2442773e9c","US20150281926")</f>
        <v>US20150281926</v>
      </c>
      <c r="B1968" s="2" t="s">
        <v>8950</v>
      </c>
      <c r="C1968" s="2" t="s">
        <v>8951</v>
      </c>
      <c r="D1968" s="2" t="s">
        <v>346</v>
      </c>
      <c r="E1968" s="2" t="s">
        <v>346</v>
      </c>
      <c r="F1968" s="2" t="s">
        <v>8952</v>
      </c>
      <c r="G1968" s="2" t="s">
        <v>8953</v>
      </c>
      <c r="H1968" s="2" t="s">
        <v>3176</v>
      </c>
      <c r="I1968" s="2" t="s">
        <v>4858</v>
      </c>
      <c r="J1968" s="2" t="s">
        <v>7185</v>
      </c>
      <c r="K1968" s="2" t="s">
        <v>82</v>
      </c>
      <c r="L1968" s="2" t="s">
        <v>6847</v>
      </c>
      <c r="M1968" s="2" t="s">
        <v>82</v>
      </c>
      <c r="N1968" s="2" t="s">
        <v>2036</v>
      </c>
      <c r="O1968" s="2">
        <v>20</v>
      </c>
      <c r="P1968" s="2">
        <v>17</v>
      </c>
      <c r="Q1968" s="2" t="s">
        <v>352</v>
      </c>
      <c r="R1968" s="2" t="s">
        <v>47</v>
      </c>
      <c r="S1968" s="2">
        <v>0</v>
      </c>
      <c r="T1968" s="2">
        <v>0</v>
      </c>
      <c r="U1968" s="2">
        <v>0</v>
      </c>
      <c r="V1968" s="2">
        <v>0</v>
      </c>
      <c r="W1968" s="2">
        <v>1</v>
      </c>
      <c r="X1968" s="2" t="s">
        <v>74</v>
      </c>
      <c r="Y1968" s="2">
        <v>0</v>
      </c>
      <c r="Z1968" s="2">
        <v>1</v>
      </c>
      <c r="AA1968" s="2">
        <v>1</v>
      </c>
      <c r="AB1968" s="2">
        <v>1</v>
      </c>
      <c r="AC1968" s="2">
        <v>4</v>
      </c>
      <c r="AD1968" s="2">
        <v>4</v>
      </c>
      <c r="AE1968" s="2" t="s">
        <v>0</v>
      </c>
      <c r="AF1968" s="2">
        <v>1</v>
      </c>
      <c r="AG1968" s="2" t="s">
        <v>49</v>
      </c>
    </row>
    <row r="1969" spans="1:33" ht="127.5" x14ac:dyDescent="0.2">
      <c r="A1969" s="5" t="str">
        <f>HYPERLINK("http://www.patentics.cn/invokexml.do?sf=ShowPatent&amp;spn=US9438291&amp;sv=134646727f627cb2a9e5b886f5d84135","US9438291")</f>
        <v>US9438291</v>
      </c>
      <c r="B1969" s="3" t="s">
        <v>8954</v>
      </c>
      <c r="C1969" s="3" t="s">
        <v>8955</v>
      </c>
      <c r="D1969" s="3" t="s">
        <v>52</v>
      </c>
      <c r="E1969" s="3" t="s">
        <v>52</v>
      </c>
      <c r="F1969" s="3" t="s">
        <v>8956</v>
      </c>
      <c r="G1969" s="3" t="s">
        <v>8957</v>
      </c>
      <c r="H1969" s="3" t="s">
        <v>0</v>
      </c>
      <c r="I1969" s="3" t="s">
        <v>1993</v>
      </c>
      <c r="J1969" s="3" t="s">
        <v>5707</v>
      </c>
      <c r="K1969" s="3" t="s">
        <v>84</v>
      </c>
      <c r="L1969" s="3" t="s">
        <v>1791</v>
      </c>
      <c r="M1969" s="3" t="s">
        <v>84</v>
      </c>
      <c r="N1969" s="3" t="s">
        <v>8958</v>
      </c>
      <c r="O1969" s="3">
        <v>0</v>
      </c>
      <c r="P1969" s="3">
        <v>14</v>
      </c>
      <c r="Q1969" s="3" t="s">
        <v>60</v>
      </c>
      <c r="R1969" s="3" t="s">
        <v>61</v>
      </c>
      <c r="S1969" s="3">
        <v>25</v>
      </c>
      <c r="T1969" s="3">
        <v>9</v>
      </c>
      <c r="U1969" s="3">
        <v>16</v>
      </c>
      <c r="V1969" s="3">
        <v>11</v>
      </c>
      <c r="W1969" s="3">
        <v>0</v>
      </c>
      <c r="X1969" s="3" t="s">
        <v>147</v>
      </c>
      <c r="Y1969" s="3">
        <v>0</v>
      </c>
      <c r="Z1969" s="3">
        <v>0</v>
      </c>
      <c r="AA1969" s="3">
        <v>0</v>
      </c>
      <c r="AB1969" s="3">
        <v>0</v>
      </c>
      <c r="AC1969" s="3">
        <v>0</v>
      </c>
      <c r="AD1969" s="3">
        <v>0</v>
      </c>
      <c r="AE1969" s="3">
        <v>14</v>
      </c>
      <c r="AF1969" s="3" t="s">
        <v>0</v>
      </c>
      <c r="AG1969" s="3" t="s">
        <v>49</v>
      </c>
    </row>
    <row r="1970" spans="1:33" ht="89.25" x14ac:dyDescent="0.2">
      <c r="A1970" s="4" t="str">
        <f>HYPERLINK("http://www.patentics.cn/invokexml.do?sf=ShowPatent&amp;spn=US20150245192&amp;sv=59c91b889f3113a233af2562adba139a","US20150245192")</f>
        <v>US20150245192</v>
      </c>
      <c r="B1970" s="2" t="s">
        <v>8959</v>
      </c>
      <c r="C1970" s="2" t="s">
        <v>8960</v>
      </c>
      <c r="D1970" s="2" t="s">
        <v>346</v>
      </c>
      <c r="E1970" s="2" t="s">
        <v>346</v>
      </c>
      <c r="F1970" s="2" t="s">
        <v>8961</v>
      </c>
      <c r="G1970" s="2" t="s">
        <v>8962</v>
      </c>
      <c r="H1970" s="2" t="s">
        <v>6692</v>
      </c>
      <c r="I1970" s="2" t="s">
        <v>5902</v>
      </c>
      <c r="J1970" s="2" t="s">
        <v>8963</v>
      </c>
      <c r="K1970" s="2" t="s">
        <v>82</v>
      </c>
      <c r="L1970" s="2" t="s">
        <v>1749</v>
      </c>
      <c r="M1970" s="2" t="s">
        <v>82</v>
      </c>
      <c r="N1970" s="2" t="s">
        <v>6316</v>
      </c>
      <c r="O1970" s="2">
        <v>21</v>
      </c>
      <c r="P1970" s="2">
        <v>20</v>
      </c>
      <c r="Q1970" s="2" t="s">
        <v>352</v>
      </c>
      <c r="R1970" s="2" t="s">
        <v>47</v>
      </c>
      <c r="S1970" s="2">
        <v>0</v>
      </c>
      <c r="T1970" s="2">
        <v>0</v>
      </c>
      <c r="U1970" s="2">
        <v>0</v>
      </c>
      <c r="V1970" s="2">
        <v>0</v>
      </c>
      <c r="W1970" s="2">
        <v>4</v>
      </c>
      <c r="X1970" s="2" t="s">
        <v>4456</v>
      </c>
      <c r="Y1970" s="2">
        <v>0</v>
      </c>
      <c r="Z1970" s="2">
        <v>4</v>
      </c>
      <c r="AA1970" s="2">
        <v>4</v>
      </c>
      <c r="AB1970" s="2">
        <v>1</v>
      </c>
      <c r="AC1970" s="2">
        <v>4</v>
      </c>
      <c r="AD1970" s="2">
        <v>4</v>
      </c>
      <c r="AE1970" s="2" t="s">
        <v>0</v>
      </c>
      <c r="AF1970" s="2">
        <v>1</v>
      </c>
      <c r="AG1970" s="2" t="s">
        <v>49</v>
      </c>
    </row>
    <row r="1971" spans="1:33" ht="153" x14ac:dyDescent="0.2">
      <c r="A1971" s="5" t="str">
        <f>HYPERLINK("http://www.patentics.cn/invokexml.do?sf=ShowPatent&amp;spn=US9591686&amp;sv=9bd5df89f0f5791874da1cff9c02e0c0","US9591686")</f>
        <v>US9591686</v>
      </c>
      <c r="B1971" s="3" t="s">
        <v>8964</v>
      </c>
      <c r="C1971" s="3" t="s">
        <v>8965</v>
      </c>
      <c r="D1971" s="3" t="s">
        <v>52</v>
      </c>
      <c r="E1971" s="3" t="s">
        <v>52</v>
      </c>
      <c r="F1971" s="3" t="s">
        <v>8966</v>
      </c>
      <c r="G1971" s="3" t="s">
        <v>4837</v>
      </c>
      <c r="H1971" s="3" t="s">
        <v>6605</v>
      </c>
      <c r="I1971" s="3" t="s">
        <v>8967</v>
      </c>
      <c r="J1971" s="3" t="s">
        <v>2406</v>
      </c>
      <c r="K1971" s="3" t="s">
        <v>82</v>
      </c>
      <c r="L1971" s="3" t="s">
        <v>2015</v>
      </c>
      <c r="M1971" s="3" t="s">
        <v>82</v>
      </c>
      <c r="N1971" s="3" t="s">
        <v>8968</v>
      </c>
      <c r="O1971" s="3">
        <v>0</v>
      </c>
      <c r="P1971" s="3">
        <v>13</v>
      </c>
      <c r="Q1971" s="3" t="s">
        <v>60</v>
      </c>
      <c r="R1971" s="3" t="s">
        <v>61</v>
      </c>
      <c r="S1971" s="3">
        <v>38</v>
      </c>
      <c r="T1971" s="3">
        <v>5</v>
      </c>
      <c r="U1971" s="3">
        <v>33</v>
      </c>
      <c r="V1971" s="3">
        <v>19</v>
      </c>
      <c r="W1971" s="3">
        <v>0</v>
      </c>
      <c r="X1971" s="3" t="s">
        <v>147</v>
      </c>
      <c r="Y1971" s="3">
        <v>0</v>
      </c>
      <c r="Z1971" s="3">
        <v>0</v>
      </c>
      <c r="AA1971" s="3">
        <v>0</v>
      </c>
      <c r="AB1971" s="3">
        <v>0</v>
      </c>
      <c r="AC1971" s="3">
        <v>2</v>
      </c>
      <c r="AD1971" s="3">
        <v>2</v>
      </c>
      <c r="AE1971" s="3">
        <v>14</v>
      </c>
      <c r="AF1971" s="3" t="s">
        <v>0</v>
      </c>
      <c r="AG1971" s="3" t="s">
        <v>49</v>
      </c>
    </row>
    <row r="1972" spans="1:33" ht="38.25" x14ac:dyDescent="0.2">
      <c r="A1972" s="4" t="str">
        <f>HYPERLINK("http://www.patentics.cn/invokexml.do?sf=ShowPatent&amp;spn=US20150222390&amp;sv=521c969b9774b94550b4f55cd45bbbeb","US20150222390")</f>
        <v>US20150222390</v>
      </c>
      <c r="B1972" s="2" t="s">
        <v>8969</v>
      </c>
      <c r="C1972" s="2" t="s">
        <v>8970</v>
      </c>
      <c r="D1972" s="2" t="s">
        <v>346</v>
      </c>
      <c r="E1972" s="2" t="s">
        <v>346</v>
      </c>
      <c r="F1972" s="2" t="s">
        <v>8971</v>
      </c>
      <c r="G1972" s="2" t="s">
        <v>8972</v>
      </c>
      <c r="H1972" s="2" t="s">
        <v>4857</v>
      </c>
      <c r="I1972" s="2" t="s">
        <v>2280</v>
      </c>
      <c r="J1972" s="2" t="s">
        <v>2382</v>
      </c>
      <c r="K1972" s="2" t="s">
        <v>58</v>
      </c>
      <c r="L1972" s="2" t="s">
        <v>613</v>
      </c>
      <c r="M1972" s="2" t="s">
        <v>58</v>
      </c>
      <c r="N1972" s="2" t="s">
        <v>855</v>
      </c>
      <c r="O1972" s="2">
        <v>18</v>
      </c>
      <c r="P1972" s="2">
        <v>23</v>
      </c>
      <c r="Q1972" s="2" t="s">
        <v>352</v>
      </c>
      <c r="R1972" s="2" t="s">
        <v>47</v>
      </c>
      <c r="S1972" s="2">
        <v>0</v>
      </c>
      <c r="T1972" s="2">
        <v>0</v>
      </c>
      <c r="U1972" s="2">
        <v>0</v>
      </c>
      <c r="V1972" s="2">
        <v>0</v>
      </c>
      <c r="W1972" s="2">
        <v>1</v>
      </c>
      <c r="X1972" s="2" t="s">
        <v>1232</v>
      </c>
      <c r="Y1972" s="2">
        <v>0</v>
      </c>
      <c r="Z1972" s="2">
        <v>1</v>
      </c>
      <c r="AA1972" s="2">
        <v>1</v>
      </c>
      <c r="AB1972" s="2">
        <v>1</v>
      </c>
      <c r="AC1972" s="2">
        <v>3</v>
      </c>
      <c r="AD1972" s="2">
        <v>4</v>
      </c>
      <c r="AE1972" s="2" t="s">
        <v>0</v>
      </c>
      <c r="AF1972" s="2">
        <v>1</v>
      </c>
      <c r="AG1972" s="2" t="s">
        <v>49</v>
      </c>
    </row>
    <row r="1973" spans="1:33" ht="153" x14ac:dyDescent="0.2">
      <c r="A1973" s="5" t="str">
        <f>HYPERLINK("http://www.patentics.cn/invokexml.do?sf=ShowPatent&amp;spn=US9491669&amp;sv=d115161e12538b08a3376e548d3daa5d","US9491669")</f>
        <v>US9491669</v>
      </c>
      <c r="B1973" s="3" t="s">
        <v>8973</v>
      </c>
      <c r="C1973" s="3" t="s">
        <v>8974</v>
      </c>
      <c r="D1973" s="3" t="s">
        <v>52</v>
      </c>
      <c r="E1973" s="3" t="s">
        <v>52</v>
      </c>
      <c r="F1973" s="3" t="s">
        <v>8975</v>
      </c>
      <c r="G1973" s="3" t="s">
        <v>8976</v>
      </c>
      <c r="H1973" s="3" t="s">
        <v>0</v>
      </c>
      <c r="I1973" s="3" t="s">
        <v>2876</v>
      </c>
      <c r="J1973" s="3" t="s">
        <v>7478</v>
      </c>
      <c r="K1973" s="3" t="s">
        <v>544</v>
      </c>
      <c r="L1973" s="3" t="s">
        <v>6990</v>
      </c>
      <c r="M1973" s="3" t="s">
        <v>82</v>
      </c>
      <c r="N1973" s="3" t="s">
        <v>1011</v>
      </c>
      <c r="O1973" s="3">
        <v>0</v>
      </c>
      <c r="P1973" s="3">
        <v>10</v>
      </c>
      <c r="Q1973" s="3" t="s">
        <v>60</v>
      </c>
      <c r="R1973" s="3" t="s">
        <v>61</v>
      </c>
      <c r="S1973" s="3">
        <v>13</v>
      </c>
      <c r="T1973" s="3">
        <v>4</v>
      </c>
      <c r="U1973" s="3">
        <v>9</v>
      </c>
      <c r="V1973" s="3">
        <v>8</v>
      </c>
      <c r="W1973" s="3">
        <v>0</v>
      </c>
      <c r="X1973" s="3" t="s">
        <v>147</v>
      </c>
      <c r="Y1973" s="3">
        <v>0</v>
      </c>
      <c r="Z1973" s="3">
        <v>0</v>
      </c>
      <c r="AA1973" s="3">
        <v>0</v>
      </c>
      <c r="AB1973" s="3">
        <v>0</v>
      </c>
      <c r="AC1973" s="3">
        <v>0</v>
      </c>
      <c r="AD1973" s="3">
        <v>0</v>
      </c>
      <c r="AE1973" s="3">
        <v>14</v>
      </c>
      <c r="AF1973" s="3" t="s">
        <v>0</v>
      </c>
      <c r="AG1973" s="3" t="s">
        <v>49</v>
      </c>
    </row>
    <row r="1974" spans="1:33" ht="76.5" x14ac:dyDescent="0.2">
      <c r="A1974" s="4" t="str">
        <f>HYPERLINK("http://www.patentics.cn/invokexml.do?sf=ShowPatent&amp;spn=US20150207598&amp;sv=4dea952e8260be6480d4b1b2fd49408a","US20150207598")</f>
        <v>US20150207598</v>
      </c>
      <c r="B1974" s="2" t="s">
        <v>8977</v>
      </c>
      <c r="C1974" s="2" t="s">
        <v>8978</v>
      </c>
      <c r="D1974" s="2" t="s">
        <v>346</v>
      </c>
      <c r="E1974" s="2" t="s">
        <v>346</v>
      </c>
      <c r="F1974" s="2" t="s">
        <v>8979</v>
      </c>
      <c r="G1974" s="2" t="s">
        <v>8980</v>
      </c>
      <c r="H1974" s="2" t="s">
        <v>3333</v>
      </c>
      <c r="I1974" s="2" t="s">
        <v>1886</v>
      </c>
      <c r="J1974" s="2" t="s">
        <v>8981</v>
      </c>
      <c r="K1974" s="2" t="s">
        <v>58</v>
      </c>
      <c r="L1974" s="2" t="s">
        <v>188</v>
      </c>
      <c r="M1974" s="2" t="s">
        <v>58</v>
      </c>
      <c r="N1974" s="2" t="s">
        <v>8982</v>
      </c>
      <c r="O1974" s="2">
        <v>10</v>
      </c>
      <c r="P1974" s="2">
        <v>14</v>
      </c>
      <c r="Q1974" s="2" t="s">
        <v>352</v>
      </c>
      <c r="R1974" s="2" t="s">
        <v>47</v>
      </c>
      <c r="S1974" s="2">
        <v>0</v>
      </c>
      <c r="T1974" s="2">
        <v>0</v>
      </c>
      <c r="U1974" s="2">
        <v>0</v>
      </c>
      <c r="V1974" s="2">
        <v>0</v>
      </c>
      <c r="W1974" s="2">
        <v>1</v>
      </c>
      <c r="X1974" s="2" t="s">
        <v>147</v>
      </c>
      <c r="Y1974" s="2">
        <v>0</v>
      </c>
      <c r="Z1974" s="2">
        <v>1</v>
      </c>
      <c r="AA1974" s="2">
        <v>1</v>
      </c>
      <c r="AB1974" s="2">
        <v>1</v>
      </c>
      <c r="AC1974" s="2">
        <v>3</v>
      </c>
      <c r="AD1974" s="2">
        <v>4</v>
      </c>
      <c r="AE1974" s="2" t="s">
        <v>0</v>
      </c>
      <c r="AF1974" s="2">
        <v>1</v>
      </c>
      <c r="AG1974" s="2" t="s">
        <v>2231</v>
      </c>
    </row>
    <row r="1975" spans="1:33" ht="242.25" x14ac:dyDescent="0.2">
      <c r="A1975" s="5" t="str">
        <f>HYPERLINK("http://www.patentics.cn/invokexml.do?sf=ShowPatent&amp;spn=US9525610&amp;sv=6342f688183db88772f4b615d7f5f6da","US9525610")</f>
        <v>US9525610</v>
      </c>
      <c r="B1975" s="3" t="s">
        <v>8983</v>
      </c>
      <c r="C1975" s="3" t="s">
        <v>8984</v>
      </c>
      <c r="D1975" s="3" t="s">
        <v>52</v>
      </c>
      <c r="E1975" s="3" t="s">
        <v>52</v>
      </c>
      <c r="F1975" s="3" t="s">
        <v>8985</v>
      </c>
      <c r="G1975" s="3" t="s">
        <v>8986</v>
      </c>
      <c r="H1975" s="3" t="s">
        <v>471</v>
      </c>
      <c r="I1975" s="3" t="s">
        <v>8987</v>
      </c>
      <c r="J1975" s="3" t="s">
        <v>3341</v>
      </c>
      <c r="K1975" s="3" t="s">
        <v>58</v>
      </c>
      <c r="L1975" s="3" t="s">
        <v>763</v>
      </c>
      <c r="M1975" s="3" t="s">
        <v>58</v>
      </c>
      <c r="N1975" s="3" t="s">
        <v>8988</v>
      </c>
      <c r="O1975" s="3">
        <v>0</v>
      </c>
      <c r="P1975" s="3">
        <v>18</v>
      </c>
      <c r="Q1975" s="3" t="s">
        <v>60</v>
      </c>
      <c r="R1975" s="3" t="s">
        <v>61</v>
      </c>
      <c r="S1975" s="3">
        <v>75</v>
      </c>
      <c r="T1975" s="3">
        <v>19</v>
      </c>
      <c r="U1975" s="3">
        <v>56</v>
      </c>
      <c r="V1975" s="3">
        <v>38</v>
      </c>
      <c r="W1975" s="3">
        <v>0</v>
      </c>
      <c r="X1975" s="3" t="s">
        <v>147</v>
      </c>
      <c r="Y1975" s="3">
        <v>0</v>
      </c>
      <c r="Z1975" s="3">
        <v>0</v>
      </c>
      <c r="AA1975" s="3">
        <v>0</v>
      </c>
      <c r="AB1975" s="3">
        <v>0</v>
      </c>
      <c r="AC1975" s="3">
        <v>12</v>
      </c>
      <c r="AD1975" s="3">
        <v>2</v>
      </c>
      <c r="AE1975" s="3">
        <v>14</v>
      </c>
      <c r="AF1975" s="3" t="s">
        <v>0</v>
      </c>
      <c r="AG1975" s="3" t="s">
        <v>49</v>
      </c>
    </row>
    <row r="1976" spans="1:33" ht="51" x14ac:dyDescent="0.2">
      <c r="A1976" s="4" t="str">
        <f>HYPERLINK("http://www.patentics.cn/invokexml.do?sf=ShowPatent&amp;spn=US20150195844&amp;sv=fa7a77fc3a92dc64590d8308b4353013","US20150195844")</f>
        <v>US20150195844</v>
      </c>
      <c r="B1976" s="2" t="s">
        <v>8989</v>
      </c>
      <c r="C1976" s="2" t="s">
        <v>8990</v>
      </c>
      <c r="D1976" s="2" t="s">
        <v>346</v>
      </c>
      <c r="E1976" s="2" t="s">
        <v>346</v>
      </c>
      <c r="F1976" s="2" t="s">
        <v>8991</v>
      </c>
      <c r="G1976" s="2" t="s">
        <v>8991</v>
      </c>
      <c r="H1976" s="2" t="s">
        <v>8992</v>
      </c>
      <c r="I1976" s="2" t="s">
        <v>1337</v>
      </c>
      <c r="J1976" s="2" t="s">
        <v>7218</v>
      </c>
      <c r="K1976" s="2" t="s">
        <v>82</v>
      </c>
      <c r="L1976" s="2" t="s">
        <v>318</v>
      </c>
      <c r="M1976" s="2" t="s">
        <v>82</v>
      </c>
      <c r="N1976" s="2" t="s">
        <v>2824</v>
      </c>
      <c r="O1976" s="2">
        <v>19</v>
      </c>
      <c r="P1976" s="2">
        <v>20</v>
      </c>
      <c r="Q1976" s="2" t="s">
        <v>352</v>
      </c>
      <c r="R1976" s="2" t="s">
        <v>47</v>
      </c>
      <c r="S1976" s="2">
        <v>0</v>
      </c>
      <c r="T1976" s="2">
        <v>0</v>
      </c>
      <c r="U1976" s="2">
        <v>0</v>
      </c>
      <c r="V1976" s="2">
        <v>0</v>
      </c>
      <c r="W1976" s="2">
        <v>1</v>
      </c>
      <c r="X1976" s="2" t="s">
        <v>403</v>
      </c>
      <c r="Y1976" s="2">
        <v>0</v>
      </c>
      <c r="Z1976" s="2">
        <v>1</v>
      </c>
      <c r="AA1976" s="2">
        <v>1</v>
      </c>
      <c r="AB1976" s="2">
        <v>1</v>
      </c>
      <c r="AC1976" s="2">
        <v>3</v>
      </c>
      <c r="AD1976" s="2">
        <v>4</v>
      </c>
      <c r="AE1976" s="2" t="s">
        <v>0</v>
      </c>
      <c r="AF1976" s="2">
        <v>1</v>
      </c>
      <c r="AG1976" s="2" t="s">
        <v>2231</v>
      </c>
    </row>
    <row r="1977" spans="1:33" ht="89.25" x14ac:dyDescent="0.2">
      <c r="A1977" s="5" t="str">
        <f>HYPERLINK("http://www.patentics.cn/invokexml.do?sf=ShowPatent&amp;spn=US9510222&amp;sv=731f8b5c0afb8e1bd00bf62ad8541a8f","US9510222")</f>
        <v>US9510222</v>
      </c>
      <c r="B1977" s="3" t="s">
        <v>8993</v>
      </c>
      <c r="C1977" s="3" t="s">
        <v>8994</v>
      </c>
      <c r="D1977" s="3" t="s">
        <v>52</v>
      </c>
      <c r="E1977" s="3" t="s">
        <v>52</v>
      </c>
      <c r="F1977" s="3" t="s">
        <v>8995</v>
      </c>
      <c r="G1977" s="3" t="s">
        <v>8996</v>
      </c>
      <c r="H1977" s="3" t="s">
        <v>2305</v>
      </c>
      <c r="I1977" s="3" t="s">
        <v>7038</v>
      </c>
      <c r="J1977" s="3" t="s">
        <v>5692</v>
      </c>
      <c r="K1977" s="3" t="s">
        <v>82</v>
      </c>
      <c r="L1977" s="3" t="s">
        <v>835</v>
      </c>
      <c r="M1977" s="3" t="s">
        <v>82</v>
      </c>
      <c r="N1977" s="3" t="s">
        <v>772</v>
      </c>
      <c r="O1977" s="3">
        <v>0</v>
      </c>
      <c r="P1977" s="3">
        <v>16</v>
      </c>
      <c r="Q1977" s="3" t="s">
        <v>60</v>
      </c>
      <c r="R1977" s="3" t="s">
        <v>61</v>
      </c>
      <c r="S1977" s="3">
        <v>22</v>
      </c>
      <c r="T1977" s="3">
        <v>5</v>
      </c>
      <c r="U1977" s="3">
        <v>17</v>
      </c>
      <c r="V1977" s="3">
        <v>13</v>
      </c>
      <c r="W1977" s="3">
        <v>0</v>
      </c>
      <c r="X1977" s="3" t="s">
        <v>147</v>
      </c>
      <c r="Y1977" s="3">
        <v>0</v>
      </c>
      <c r="Z1977" s="3">
        <v>0</v>
      </c>
      <c r="AA1977" s="3">
        <v>0</v>
      </c>
      <c r="AB1977" s="3">
        <v>0</v>
      </c>
      <c r="AC1977" s="3">
        <v>6</v>
      </c>
      <c r="AD1977" s="3">
        <v>6</v>
      </c>
      <c r="AE1977" s="3">
        <v>14</v>
      </c>
      <c r="AF1977" s="3" t="s">
        <v>0</v>
      </c>
      <c r="AG1977" s="3" t="s">
        <v>49</v>
      </c>
    </row>
    <row r="1978" spans="1:33" ht="38.25" x14ac:dyDescent="0.2">
      <c r="A1978" s="4" t="str">
        <f>HYPERLINK("http://www.patentics.cn/invokexml.do?sf=ShowPatent&amp;spn=US20150033049&amp;sv=c08e8824c6827f68862414844eeb42b4","US20150033049")</f>
        <v>US20150033049</v>
      </c>
      <c r="B1978" s="2" t="s">
        <v>8997</v>
      </c>
      <c r="C1978" s="2" t="s">
        <v>8998</v>
      </c>
      <c r="D1978" s="2" t="s">
        <v>346</v>
      </c>
      <c r="E1978" s="2" t="s">
        <v>346</v>
      </c>
      <c r="F1978" s="2" t="s">
        <v>8999</v>
      </c>
      <c r="G1978" s="2" t="s">
        <v>9000</v>
      </c>
      <c r="H1978" s="2" t="s">
        <v>9001</v>
      </c>
      <c r="I1978" s="2" t="s">
        <v>7422</v>
      </c>
      <c r="J1978" s="2" t="s">
        <v>2381</v>
      </c>
      <c r="K1978" s="2" t="s">
        <v>555</v>
      </c>
      <c r="L1978" s="2" t="s">
        <v>9002</v>
      </c>
      <c r="M1978" s="2" t="s">
        <v>555</v>
      </c>
      <c r="N1978" s="2" t="s">
        <v>9003</v>
      </c>
      <c r="O1978" s="2">
        <v>20</v>
      </c>
      <c r="P1978" s="2">
        <v>8</v>
      </c>
      <c r="Q1978" s="2" t="s">
        <v>352</v>
      </c>
      <c r="R1978" s="2" t="s">
        <v>47</v>
      </c>
      <c r="S1978" s="2">
        <v>0</v>
      </c>
      <c r="T1978" s="2">
        <v>0</v>
      </c>
      <c r="U1978" s="2">
        <v>0</v>
      </c>
      <c r="V1978" s="2">
        <v>0</v>
      </c>
      <c r="W1978" s="2">
        <v>1</v>
      </c>
      <c r="X1978" s="2" t="s">
        <v>108</v>
      </c>
      <c r="Y1978" s="2">
        <v>0</v>
      </c>
      <c r="Z1978" s="2">
        <v>1</v>
      </c>
      <c r="AA1978" s="2">
        <v>1</v>
      </c>
      <c r="AB1978" s="2">
        <v>1</v>
      </c>
      <c r="AC1978" s="2">
        <v>4</v>
      </c>
      <c r="AD1978" s="2">
        <v>4</v>
      </c>
      <c r="AE1978" s="2" t="s">
        <v>0</v>
      </c>
      <c r="AF1978" s="2">
        <v>1</v>
      </c>
      <c r="AG1978" s="2" t="s">
        <v>49</v>
      </c>
    </row>
    <row r="1979" spans="1:33" ht="63.75" x14ac:dyDescent="0.2">
      <c r="A1979" s="5" t="str">
        <f>HYPERLINK("http://www.patentics.cn/invokexml.do?sf=ShowPatent&amp;spn=US9426748&amp;sv=c76f1719a16998b23994e908035bc892","US9426748")</f>
        <v>US9426748</v>
      </c>
      <c r="B1979" s="3" t="s">
        <v>9004</v>
      </c>
      <c r="C1979" s="3" t="s">
        <v>9005</v>
      </c>
      <c r="D1979" s="3" t="s">
        <v>52</v>
      </c>
      <c r="E1979" s="3" t="s">
        <v>52</v>
      </c>
      <c r="F1979" s="3" t="s">
        <v>9006</v>
      </c>
      <c r="G1979" s="3" t="s">
        <v>9007</v>
      </c>
      <c r="H1979" s="3" t="s">
        <v>6874</v>
      </c>
      <c r="I1979" s="3" t="s">
        <v>6874</v>
      </c>
      <c r="J1979" s="3" t="s">
        <v>325</v>
      </c>
      <c r="K1979" s="3" t="s">
        <v>82</v>
      </c>
      <c r="L1979" s="3" t="s">
        <v>5337</v>
      </c>
      <c r="M1979" s="3" t="s">
        <v>82</v>
      </c>
      <c r="N1979" s="3" t="s">
        <v>9008</v>
      </c>
      <c r="O1979" s="3">
        <v>0</v>
      </c>
      <c r="P1979" s="3">
        <v>12</v>
      </c>
      <c r="Q1979" s="3" t="s">
        <v>60</v>
      </c>
      <c r="R1979" s="3" t="s">
        <v>61</v>
      </c>
      <c r="S1979" s="3">
        <v>37</v>
      </c>
      <c r="T1979" s="3">
        <v>5</v>
      </c>
      <c r="U1979" s="3">
        <v>32</v>
      </c>
      <c r="V1979" s="3">
        <v>21</v>
      </c>
      <c r="W1979" s="3">
        <v>0</v>
      </c>
      <c r="X1979" s="3" t="s">
        <v>147</v>
      </c>
      <c r="Y1979" s="3">
        <v>0</v>
      </c>
      <c r="Z1979" s="3">
        <v>0</v>
      </c>
      <c r="AA1979" s="3">
        <v>0</v>
      </c>
      <c r="AB1979" s="3">
        <v>0</v>
      </c>
      <c r="AC1979" s="3">
        <v>2</v>
      </c>
      <c r="AD1979" s="3">
        <v>2</v>
      </c>
      <c r="AE1979" s="3">
        <v>14</v>
      </c>
      <c r="AF1979" s="3" t="s">
        <v>0</v>
      </c>
      <c r="AG1979" s="3" t="s">
        <v>49</v>
      </c>
    </row>
    <row r="1980" spans="1:33" ht="25.5" x14ac:dyDescent="0.2">
      <c r="A1980" s="4" t="str">
        <f>HYPERLINK("http://www.patentics.cn/invokexml.do?sf=ShowPatent&amp;spn=US20150016430&amp;sv=4f936a6c43384aba1eb02b0156ad7ce2","US20150016430")</f>
        <v>US20150016430</v>
      </c>
      <c r="B1980" s="2" t="s">
        <v>9009</v>
      </c>
      <c r="C1980" s="2" t="s">
        <v>9010</v>
      </c>
      <c r="D1980" s="2" t="s">
        <v>346</v>
      </c>
      <c r="E1980" s="2" t="s">
        <v>346</v>
      </c>
      <c r="F1980" s="2" t="s">
        <v>9011</v>
      </c>
      <c r="G1980" s="2" t="s">
        <v>9011</v>
      </c>
      <c r="H1980" s="2" t="s">
        <v>6660</v>
      </c>
      <c r="I1980" s="2" t="s">
        <v>6661</v>
      </c>
      <c r="J1980" s="2" t="s">
        <v>5270</v>
      </c>
      <c r="K1980" s="2" t="s">
        <v>58</v>
      </c>
      <c r="L1980" s="2" t="s">
        <v>1980</v>
      </c>
      <c r="M1980" s="2" t="s">
        <v>58</v>
      </c>
      <c r="N1980" s="2" t="s">
        <v>4879</v>
      </c>
      <c r="O1980" s="2">
        <v>20</v>
      </c>
      <c r="P1980" s="2">
        <v>10</v>
      </c>
      <c r="Q1980" s="2" t="s">
        <v>352</v>
      </c>
      <c r="R1980" s="2" t="s">
        <v>61</v>
      </c>
      <c r="S1980" s="2">
        <v>0</v>
      </c>
      <c r="T1980" s="2">
        <v>0</v>
      </c>
      <c r="U1980" s="2">
        <v>0</v>
      </c>
      <c r="V1980" s="2">
        <v>0</v>
      </c>
      <c r="W1980" s="2">
        <v>1</v>
      </c>
      <c r="X1980" s="2" t="s">
        <v>403</v>
      </c>
      <c r="Y1980" s="2">
        <v>0</v>
      </c>
      <c r="Z1980" s="2">
        <v>1</v>
      </c>
      <c r="AA1980" s="2">
        <v>1</v>
      </c>
      <c r="AB1980" s="2">
        <v>1</v>
      </c>
      <c r="AC1980" s="2">
        <v>6</v>
      </c>
      <c r="AD1980" s="2">
        <v>7</v>
      </c>
      <c r="AE1980" s="2" t="s">
        <v>0</v>
      </c>
      <c r="AF1980" s="2">
        <v>1</v>
      </c>
      <c r="AG1980" s="2" t="s">
        <v>2231</v>
      </c>
    </row>
    <row r="1981" spans="1:33" ht="63.75" x14ac:dyDescent="0.2">
      <c r="A1981" s="5" t="str">
        <f>HYPERLINK("http://www.patentics.cn/invokexml.do?sf=ShowPatent&amp;spn=US9468036&amp;sv=bbe09d931334d1fdf32b118fd3432231","US9468036")</f>
        <v>US9468036</v>
      </c>
      <c r="B1981" s="3" t="s">
        <v>9012</v>
      </c>
      <c r="C1981" s="3" t="s">
        <v>9013</v>
      </c>
      <c r="D1981" s="3" t="s">
        <v>52</v>
      </c>
      <c r="E1981" s="3" t="s">
        <v>52</v>
      </c>
      <c r="F1981" s="3" t="s">
        <v>9014</v>
      </c>
      <c r="G1981" s="3" t="s">
        <v>3073</v>
      </c>
      <c r="H1981" s="3" t="s">
        <v>511</v>
      </c>
      <c r="I1981" s="3" t="s">
        <v>1622</v>
      </c>
      <c r="J1981" s="3" t="s">
        <v>6369</v>
      </c>
      <c r="K1981" s="3" t="s">
        <v>82</v>
      </c>
      <c r="L1981" s="3" t="s">
        <v>2703</v>
      </c>
      <c r="M1981" s="3" t="s">
        <v>82</v>
      </c>
      <c r="N1981" s="3" t="s">
        <v>2072</v>
      </c>
      <c r="O1981" s="3">
        <v>0</v>
      </c>
      <c r="P1981" s="3">
        <v>14</v>
      </c>
      <c r="Q1981" s="3" t="s">
        <v>60</v>
      </c>
      <c r="R1981" s="3" t="s">
        <v>61</v>
      </c>
      <c r="S1981" s="3">
        <v>20</v>
      </c>
      <c r="T1981" s="3">
        <v>7</v>
      </c>
      <c r="U1981" s="3">
        <v>13</v>
      </c>
      <c r="V1981" s="3">
        <v>11</v>
      </c>
      <c r="W1981" s="3">
        <v>0</v>
      </c>
      <c r="X1981" s="3" t="s">
        <v>147</v>
      </c>
      <c r="Y1981" s="3">
        <v>0</v>
      </c>
      <c r="Z1981" s="3">
        <v>0</v>
      </c>
      <c r="AA1981" s="3">
        <v>0</v>
      </c>
      <c r="AB1981" s="3">
        <v>0</v>
      </c>
      <c r="AC1981" s="3">
        <v>8</v>
      </c>
      <c r="AD1981" s="3">
        <v>7</v>
      </c>
      <c r="AE1981" s="3">
        <v>14</v>
      </c>
      <c r="AF1981" s="3" t="s">
        <v>0</v>
      </c>
      <c r="AG1981" s="3" t="s">
        <v>49</v>
      </c>
    </row>
    <row r="1982" spans="1:33" ht="51" x14ac:dyDescent="0.2">
      <c r="A1982" s="4" t="str">
        <f>HYPERLINK("http://www.patentics.cn/invokexml.do?sf=ShowPatent&amp;spn=US20140286237&amp;sv=12bfac3f35181e2e633097f6d36786a4","US20140286237")</f>
        <v>US20140286237</v>
      </c>
      <c r="B1982" s="2" t="s">
        <v>9015</v>
      </c>
      <c r="C1982" s="2" t="s">
        <v>9016</v>
      </c>
      <c r="D1982" s="2" t="s">
        <v>346</v>
      </c>
      <c r="E1982" s="2" t="s">
        <v>346</v>
      </c>
      <c r="F1982" s="2" t="s">
        <v>3194</v>
      </c>
      <c r="G1982" s="2" t="s">
        <v>3194</v>
      </c>
      <c r="H1982" s="2" t="s">
        <v>6116</v>
      </c>
      <c r="I1982" s="2" t="s">
        <v>9017</v>
      </c>
      <c r="J1982" s="2" t="s">
        <v>9018</v>
      </c>
      <c r="K1982" s="2" t="s">
        <v>82</v>
      </c>
      <c r="L1982" s="2" t="s">
        <v>83</v>
      </c>
      <c r="M1982" s="2" t="s">
        <v>82</v>
      </c>
      <c r="N1982" s="2" t="s">
        <v>9019</v>
      </c>
      <c r="O1982" s="2">
        <v>38</v>
      </c>
      <c r="P1982" s="2">
        <v>25</v>
      </c>
      <c r="Q1982" s="2" t="s">
        <v>352</v>
      </c>
      <c r="R1982" s="2" t="s">
        <v>61</v>
      </c>
      <c r="S1982" s="2">
        <v>0</v>
      </c>
      <c r="T1982" s="2">
        <v>0</v>
      </c>
      <c r="U1982" s="2">
        <v>0</v>
      </c>
      <c r="V1982" s="2">
        <v>0</v>
      </c>
      <c r="W1982" s="2">
        <v>7</v>
      </c>
      <c r="X1982" s="2" t="s">
        <v>4456</v>
      </c>
      <c r="Y1982" s="2">
        <v>1</v>
      </c>
      <c r="Z1982" s="2">
        <v>6</v>
      </c>
      <c r="AA1982" s="2">
        <v>3</v>
      </c>
      <c r="AB1982" s="2">
        <v>1</v>
      </c>
      <c r="AC1982" s="2">
        <v>7</v>
      </c>
      <c r="AD1982" s="2">
        <v>6</v>
      </c>
      <c r="AE1982" s="2" t="s">
        <v>0</v>
      </c>
      <c r="AF1982" s="2">
        <v>1</v>
      </c>
      <c r="AG1982" s="2" t="s">
        <v>49</v>
      </c>
    </row>
    <row r="1983" spans="1:33" ht="76.5" x14ac:dyDescent="0.2">
      <c r="A1983" s="5" t="str">
        <f>HYPERLINK("http://www.patentics.cn/invokexml.do?sf=ShowPatent&amp;spn=US9432797&amp;sv=c2ffbb8bee509e6375de441bc47851b6","US9432797")</f>
        <v>US9432797</v>
      </c>
      <c r="B1983" s="3" t="s">
        <v>9020</v>
      </c>
      <c r="C1983" s="3" t="s">
        <v>9021</v>
      </c>
      <c r="D1983" s="3" t="s">
        <v>52</v>
      </c>
      <c r="E1983" s="3" t="s">
        <v>52</v>
      </c>
      <c r="F1983" s="3" t="s">
        <v>9022</v>
      </c>
      <c r="G1983" s="3" t="s">
        <v>1874</v>
      </c>
      <c r="H1983" s="3" t="s">
        <v>6192</v>
      </c>
      <c r="I1983" s="3" t="s">
        <v>9023</v>
      </c>
      <c r="J1983" s="3" t="s">
        <v>718</v>
      </c>
      <c r="K1983" s="3" t="s">
        <v>43</v>
      </c>
      <c r="L1983" s="3" t="s">
        <v>57</v>
      </c>
      <c r="M1983" s="3" t="s">
        <v>82</v>
      </c>
      <c r="N1983" s="3" t="s">
        <v>9019</v>
      </c>
      <c r="O1983" s="3">
        <v>0</v>
      </c>
      <c r="P1983" s="3">
        <v>7</v>
      </c>
      <c r="Q1983" s="3" t="s">
        <v>60</v>
      </c>
      <c r="R1983" s="3" t="s">
        <v>61</v>
      </c>
      <c r="S1983" s="3">
        <v>36</v>
      </c>
      <c r="T1983" s="3">
        <v>4</v>
      </c>
      <c r="U1983" s="3">
        <v>32</v>
      </c>
      <c r="V1983" s="3">
        <v>17</v>
      </c>
      <c r="W1983" s="3">
        <v>0</v>
      </c>
      <c r="X1983" s="3" t="s">
        <v>147</v>
      </c>
      <c r="Y1983" s="3">
        <v>0</v>
      </c>
      <c r="Z1983" s="3">
        <v>0</v>
      </c>
      <c r="AA1983" s="3">
        <v>0</v>
      </c>
      <c r="AB1983" s="3">
        <v>0</v>
      </c>
      <c r="AC1983" s="3">
        <v>13</v>
      </c>
      <c r="AD1983" s="3">
        <v>6</v>
      </c>
      <c r="AE1983" s="3">
        <v>14</v>
      </c>
      <c r="AF1983" s="3" t="s">
        <v>0</v>
      </c>
      <c r="AG1983" s="3" t="s">
        <v>49</v>
      </c>
    </row>
    <row r="1984" spans="1:33" ht="51" x14ac:dyDescent="0.2">
      <c r="A1984" s="4" t="str">
        <f>HYPERLINK("http://www.patentics.cn/invokexml.do?sf=ShowPatent&amp;spn=US20140254471&amp;sv=8a0cf49461d88fc6757bdea3c749141b","US20140254471")</f>
        <v>US20140254471</v>
      </c>
      <c r="B1984" s="2" t="s">
        <v>9024</v>
      </c>
      <c r="C1984" s="2" t="s">
        <v>9025</v>
      </c>
      <c r="D1984" s="2" t="s">
        <v>346</v>
      </c>
      <c r="E1984" s="2" t="s">
        <v>346</v>
      </c>
      <c r="F1984" s="2" t="s">
        <v>9026</v>
      </c>
      <c r="G1984" s="2" t="s">
        <v>1006</v>
      </c>
      <c r="H1984" s="2" t="s">
        <v>3888</v>
      </c>
      <c r="I1984" s="2" t="s">
        <v>3535</v>
      </c>
      <c r="J1984" s="2" t="s">
        <v>9027</v>
      </c>
      <c r="K1984" s="2" t="s">
        <v>82</v>
      </c>
      <c r="L1984" s="2" t="s">
        <v>3240</v>
      </c>
      <c r="M1984" s="2" t="s">
        <v>82</v>
      </c>
      <c r="N1984" s="2" t="s">
        <v>9028</v>
      </c>
      <c r="O1984" s="2">
        <v>20</v>
      </c>
      <c r="P1984" s="2">
        <v>12</v>
      </c>
      <c r="Q1984" s="2" t="s">
        <v>352</v>
      </c>
      <c r="R1984" s="2" t="s">
        <v>47</v>
      </c>
      <c r="S1984" s="2">
        <v>0</v>
      </c>
      <c r="T1984" s="2">
        <v>0</v>
      </c>
      <c r="U1984" s="2">
        <v>0</v>
      </c>
      <c r="V1984" s="2">
        <v>0</v>
      </c>
      <c r="W1984" s="2">
        <v>2</v>
      </c>
      <c r="X1984" s="2" t="s">
        <v>1351</v>
      </c>
      <c r="Y1984" s="2">
        <v>0</v>
      </c>
      <c r="Z1984" s="2">
        <v>2</v>
      </c>
      <c r="AA1984" s="2">
        <v>2</v>
      </c>
      <c r="AB1984" s="2">
        <v>1</v>
      </c>
      <c r="AC1984" s="2">
        <v>1</v>
      </c>
      <c r="AD1984" s="2">
        <v>2</v>
      </c>
      <c r="AE1984" s="2" t="s">
        <v>0</v>
      </c>
      <c r="AF1984" s="2">
        <v>1</v>
      </c>
      <c r="AG1984" s="2" t="s">
        <v>2231</v>
      </c>
    </row>
    <row r="1985" spans="1:33" ht="76.5" x14ac:dyDescent="0.2">
      <c r="A1985" s="5" t="str">
        <f>HYPERLINK("http://www.patentics.cn/invokexml.do?sf=ShowPatent&amp;spn=US9585159&amp;sv=0a60a4f9656c523b508ae4ed9bacb990","US9585159")</f>
        <v>US9585159</v>
      </c>
      <c r="B1985" s="3" t="s">
        <v>9029</v>
      </c>
      <c r="C1985" s="3" t="s">
        <v>9030</v>
      </c>
      <c r="D1985" s="3" t="s">
        <v>52</v>
      </c>
      <c r="E1985" s="3" t="s">
        <v>52</v>
      </c>
      <c r="F1985" s="3" t="s">
        <v>9031</v>
      </c>
      <c r="G1985" s="3" t="s">
        <v>2245</v>
      </c>
      <c r="H1985" s="3" t="s">
        <v>9032</v>
      </c>
      <c r="I1985" s="3" t="s">
        <v>9032</v>
      </c>
      <c r="J1985" s="3" t="s">
        <v>2718</v>
      </c>
      <c r="K1985" s="3" t="s">
        <v>82</v>
      </c>
      <c r="L1985" s="3" t="s">
        <v>318</v>
      </c>
      <c r="M1985" s="3" t="s">
        <v>82</v>
      </c>
      <c r="N1985" s="3" t="s">
        <v>2824</v>
      </c>
      <c r="O1985" s="3">
        <v>0</v>
      </c>
      <c r="P1985" s="3">
        <v>21</v>
      </c>
      <c r="Q1985" s="3" t="s">
        <v>60</v>
      </c>
      <c r="R1985" s="3" t="s">
        <v>61</v>
      </c>
      <c r="S1985" s="3">
        <v>22</v>
      </c>
      <c r="T1985" s="3">
        <v>5</v>
      </c>
      <c r="U1985" s="3">
        <v>17</v>
      </c>
      <c r="V1985" s="3">
        <v>10</v>
      </c>
      <c r="W1985" s="3">
        <v>0</v>
      </c>
      <c r="X1985" s="3" t="s">
        <v>147</v>
      </c>
      <c r="Y1985" s="3">
        <v>0</v>
      </c>
      <c r="Z1985" s="3">
        <v>0</v>
      </c>
      <c r="AA1985" s="3">
        <v>0</v>
      </c>
      <c r="AB1985" s="3">
        <v>0</v>
      </c>
      <c r="AC1985" s="3">
        <v>2</v>
      </c>
      <c r="AD1985" s="3">
        <v>2</v>
      </c>
      <c r="AE1985" s="3">
        <v>14</v>
      </c>
      <c r="AF1985" s="3" t="s">
        <v>0</v>
      </c>
      <c r="AG1985" s="3" t="s">
        <v>49</v>
      </c>
    </row>
    <row r="1986" spans="1:33" ht="89.25" x14ac:dyDescent="0.2">
      <c r="A1986" s="4" t="str">
        <f>HYPERLINK("http://www.patentics.cn/invokexml.do?sf=ShowPatent&amp;spn=US20140177690&amp;sv=721188548795ee93c3712f3667487989","US20140177690")</f>
        <v>US20140177690</v>
      </c>
      <c r="B1986" s="2" t="s">
        <v>9033</v>
      </c>
      <c r="C1986" s="2" t="s">
        <v>9034</v>
      </c>
      <c r="D1986" s="2" t="s">
        <v>346</v>
      </c>
      <c r="E1986" s="2" t="s">
        <v>346</v>
      </c>
      <c r="F1986" s="2" t="s">
        <v>9035</v>
      </c>
      <c r="G1986" s="2" t="s">
        <v>9036</v>
      </c>
      <c r="H1986" s="2" t="s">
        <v>6667</v>
      </c>
      <c r="I1986" s="2" t="s">
        <v>9037</v>
      </c>
      <c r="J1986" s="2" t="s">
        <v>5080</v>
      </c>
      <c r="K1986" s="2" t="s">
        <v>58</v>
      </c>
      <c r="L1986" s="2" t="s">
        <v>9038</v>
      </c>
      <c r="M1986" s="2" t="s">
        <v>58</v>
      </c>
      <c r="N1986" s="2" t="s">
        <v>9039</v>
      </c>
      <c r="O1986" s="2">
        <v>18</v>
      </c>
      <c r="P1986" s="2">
        <v>13</v>
      </c>
      <c r="Q1986" s="2" t="s">
        <v>352</v>
      </c>
      <c r="R1986" s="2" t="s">
        <v>61</v>
      </c>
      <c r="S1986" s="2">
        <v>0</v>
      </c>
      <c r="T1986" s="2">
        <v>0</v>
      </c>
      <c r="U1986" s="2">
        <v>0</v>
      </c>
      <c r="V1986" s="2">
        <v>0</v>
      </c>
      <c r="W1986" s="2">
        <v>1</v>
      </c>
      <c r="X1986" s="2" t="s">
        <v>403</v>
      </c>
      <c r="Y1986" s="2">
        <v>0</v>
      </c>
      <c r="Z1986" s="2">
        <v>1</v>
      </c>
      <c r="AA1986" s="2">
        <v>1</v>
      </c>
      <c r="AB1986" s="2">
        <v>1</v>
      </c>
      <c r="AC1986" s="2">
        <v>5</v>
      </c>
      <c r="AD1986" s="2">
        <v>4</v>
      </c>
      <c r="AE1986" s="2" t="s">
        <v>0</v>
      </c>
      <c r="AF1986" s="2">
        <v>1</v>
      </c>
      <c r="AG1986" s="2" t="s">
        <v>49</v>
      </c>
    </row>
    <row r="1987" spans="1:33" ht="89.25" x14ac:dyDescent="0.2">
      <c r="A1987" s="5" t="str">
        <f>HYPERLINK("http://www.patentics.cn/invokexml.do?sf=ShowPatent&amp;spn=US9288139&amp;sv=5581219e4b878a7502d8c667c09e4426","US9288139")</f>
        <v>US9288139</v>
      </c>
      <c r="B1987" s="3" t="s">
        <v>9040</v>
      </c>
      <c r="C1987" s="3" t="s">
        <v>9041</v>
      </c>
      <c r="D1987" s="3" t="s">
        <v>52</v>
      </c>
      <c r="E1987" s="3" t="s">
        <v>52</v>
      </c>
      <c r="F1987" s="3" t="s">
        <v>9042</v>
      </c>
      <c r="G1987" s="3" t="s">
        <v>2245</v>
      </c>
      <c r="H1987" s="3" t="s">
        <v>7253</v>
      </c>
      <c r="I1987" s="3" t="s">
        <v>7253</v>
      </c>
      <c r="J1987" s="3" t="s">
        <v>689</v>
      </c>
      <c r="K1987" s="3" t="s">
        <v>82</v>
      </c>
      <c r="L1987" s="3" t="s">
        <v>83</v>
      </c>
      <c r="M1987" s="3" t="s">
        <v>58</v>
      </c>
      <c r="N1987" s="3" t="s">
        <v>9039</v>
      </c>
      <c r="O1987" s="3">
        <v>0</v>
      </c>
      <c r="P1987" s="3">
        <v>3</v>
      </c>
      <c r="Q1987" s="3" t="s">
        <v>60</v>
      </c>
      <c r="R1987" s="3" t="s">
        <v>61</v>
      </c>
      <c r="S1987" s="3">
        <v>23</v>
      </c>
      <c r="T1987" s="3">
        <v>1</v>
      </c>
      <c r="U1987" s="3">
        <v>22</v>
      </c>
      <c r="V1987" s="3">
        <v>14</v>
      </c>
      <c r="W1987" s="3">
        <v>0</v>
      </c>
      <c r="X1987" s="3" t="s">
        <v>147</v>
      </c>
      <c r="Y1987" s="3">
        <v>0</v>
      </c>
      <c r="Z1987" s="3">
        <v>0</v>
      </c>
      <c r="AA1987" s="3">
        <v>0</v>
      </c>
      <c r="AB1987" s="3">
        <v>0</v>
      </c>
      <c r="AC1987" s="3">
        <v>2</v>
      </c>
      <c r="AD1987" s="3">
        <v>2</v>
      </c>
      <c r="AE1987" s="3">
        <v>14</v>
      </c>
      <c r="AF1987" s="3" t="s">
        <v>0</v>
      </c>
      <c r="AG1987" s="3" t="s">
        <v>49</v>
      </c>
    </row>
    <row r="1988" spans="1:33" ht="114.75" x14ac:dyDescent="0.2">
      <c r="A1988" s="4" t="str">
        <f>HYPERLINK("http://www.patentics.cn/invokexml.do?sf=ShowPatent&amp;spn=US20140177547&amp;sv=876464663d11f6a188e6af922083bd72","US20140177547")</f>
        <v>US20140177547</v>
      </c>
      <c r="B1988" s="2" t="s">
        <v>9043</v>
      </c>
      <c r="C1988" s="2" t="s">
        <v>4775</v>
      </c>
      <c r="D1988" s="2" t="s">
        <v>346</v>
      </c>
      <c r="E1988" s="2" t="s">
        <v>346</v>
      </c>
      <c r="F1988" s="2" t="s">
        <v>9044</v>
      </c>
      <c r="G1988" s="2" t="s">
        <v>9045</v>
      </c>
      <c r="H1988" s="2" t="s">
        <v>4778</v>
      </c>
      <c r="I1988" s="2" t="s">
        <v>4479</v>
      </c>
      <c r="J1988" s="2" t="s">
        <v>5080</v>
      </c>
      <c r="K1988" s="2" t="s">
        <v>58</v>
      </c>
      <c r="L1988" s="2" t="s">
        <v>188</v>
      </c>
      <c r="M1988" s="2" t="s">
        <v>58</v>
      </c>
      <c r="N1988" s="2" t="s">
        <v>8982</v>
      </c>
      <c r="O1988" s="2">
        <v>16</v>
      </c>
      <c r="P1988" s="2">
        <v>24</v>
      </c>
      <c r="Q1988" s="2" t="s">
        <v>352</v>
      </c>
      <c r="R1988" s="2" t="s">
        <v>47</v>
      </c>
      <c r="S1988" s="2">
        <v>0</v>
      </c>
      <c r="T1988" s="2">
        <v>0</v>
      </c>
      <c r="U1988" s="2">
        <v>0</v>
      </c>
      <c r="V1988" s="2">
        <v>0</v>
      </c>
      <c r="W1988" s="2">
        <v>2</v>
      </c>
      <c r="X1988" s="2" t="s">
        <v>3185</v>
      </c>
      <c r="Y1988" s="2">
        <v>0</v>
      </c>
      <c r="Z1988" s="2">
        <v>2</v>
      </c>
      <c r="AA1988" s="2">
        <v>2</v>
      </c>
      <c r="AB1988" s="2">
        <v>1</v>
      </c>
      <c r="AC1988" s="2">
        <v>4</v>
      </c>
      <c r="AD1988" s="2">
        <v>4</v>
      </c>
      <c r="AE1988" s="2" t="s">
        <v>0</v>
      </c>
      <c r="AF1988" s="2">
        <v>1</v>
      </c>
      <c r="AG1988" s="2" t="s">
        <v>49</v>
      </c>
    </row>
    <row r="1989" spans="1:33" ht="89.25" x14ac:dyDescent="0.2">
      <c r="A1989" s="5" t="str">
        <f>HYPERLINK("http://www.patentics.cn/invokexml.do?sf=ShowPatent&amp;spn=US9602322&amp;sv=b44edb3a7e43101a26af692640042729","US9602322")</f>
        <v>US9602322</v>
      </c>
      <c r="B1989" s="3" t="s">
        <v>4781</v>
      </c>
      <c r="C1989" s="3" t="s">
        <v>4782</v>
      </c>
      <c r="D1989" s="3" t="s">
        <v>52</v>
      </c>
      <c r="E1989" s="3" t="s">
        <v>52</v>
      </c>
      <c r="F1989" s="3" t="s">
        <v>4783</v>
      </c>
      <c r="G1989" s="3" t="s">
        <v>924</v>
      </c>
      <c r="H1989" s="3" t="s">
        <v>0</v>
      </c>
      <c r="I1989" s="3" t="s">
        <v>4217</v>
      </c>
      <c r="J1989" s="3" t="s">
        <v>739</v>
      </c>
      <c r="K1989" s="3" t="s">
        <v>58</v>
      </c>
      <c r="L1989" s="3" t="s">
        <v>94</v>
      </c>
      <c r="M1989" s="3" t="s">
        <v>58</v>
      </c>
      <c r="N1989" s="3" t="s">
        <v>4784</v>
      </c>
      <c r="O1989" s="3">
        <v>0</v>
      </c>
      <c r="P1989" s="3">
        <v>15</v>
      </c>
      <c r="Q1989" s="3" t="s">
        <v>60</v>
      </c>
      <c r="R1989" s="3" t="s">
        <v>61</v>
      </c>
      <c r="S1989" s="3">
        <v>11</v>
      </c>
      <c r="T1989" s="3">
        <v>1</v>
      </c>
      <c r="U1989" s="3">
        <v>10</v>
      </c>
      <c r="V1989" s="3">
        <v>8</v>
      </c>
      <c r="W1989" s="3">
        <v>0</v>
      </c>
      <c r="X1989" s="3" t="s">
        <v>147</v>
      </c>
      <c r="Y1989" s="3">
        <v>0</v>
      </c>
      <c r="Z1989" s="3">
        <v>0</v>
      </c>
      <c r="AA1989" s="3">
        <v>0</v>
      </c>
      <c r="AB1989" s="3">
        <v>0</v>
      </c>
      <c r="AC1989" s="3">
        <v>0</v>
      </c>
      <c r="AD1989" s="3">
        <v>0</v>
      </c>
      <c r="AE1989" s="3">
        <v>14</v>
      </c>
      <c r="AF1989" s="3" t="s">
        <v>0</v>
      </c>
      <c r="AG1989" s="3" t="s">
        <v>49</v>
      </c>
    </row>
    <row r="1990" spans="1:33" ht="38.25" x14ac:dyDescent="0.2">
      <c r="A1990" s="4" t="str">
        <f>HYPERLINK("http://www.patentics.cn/invokexml.do?sf=ShowPatent&amp;spn=US20140141845&amp;sv=89025a106a5f69c53f43039062df8459","US20140141845")</f>
        <v>US20140141845</v>
      </c>
      <c r="B1990" s="2" t="s">
        <v>9046</v>
      </c>
      <c r="C1990" s="2" t="s">
        <v>9047</v>
      </c>
      <c r="D1990" s="2" t="s">
        <v>346</v>
      </c>
      <c r="E1990" s="2" t="s">
        <v>346</v>
      </c>
      <c r="F1990" s="2" t="s">
        <v>9048</v>
      </c>
      <c r="G1990" s="2" t="s">
        <v>9049</v>
      </c>
      <c r="H1990" s="2" t="s">
        <v>2445</v>
      </c>
      <c r="I1990" s="2" t="s">
        <v>5235</v>
      </c>
      <c r="J1990" s="2" t="s">
        <v>3369</v>
      </c>
      <c r="K1990" s="2" t="s">
        <v>84</v>
      </c>
      <c r="L1990" s="2" t="s">
        <v>1791</v>
      </c>
      <c r="M1990" s="2" t="s">
        <v>84</v>
      </c>
      <c r="N1990" s="2" t="s">
        <v>9050</v>
      </c>
      <c r="O1990" s="2">
        <v>10</v>
      </c>
      <c r="P1990" s="2">
        <v>11</v>
      </c>
      <c r="Q1990" s="2" t="s">
        <v>352</v>
      </c>
      <c r="R1990" s="2" t="s">
        <v>47</v>
      </c>
      <c r="S1990" s="2">
        <v>0</v>
      </c>
      <c r="T1990" s="2">
        <v>0</v>
      </c>
      <c r="U1990" s="2">
        <v>0</v>
      </c>
      <c r="V1990" s="2">
        <v>0</v>
      </c>
      <c r="W1990" s="2">
        <v>2</v>
      </c>
      <c r="X1990" s="2" t="s">
        <v>523</v>
      </c>
      <c r="Y1990" s="2">
        <v>0</v>
      </c>
      <c r="Z1990" s="2">
        <v>2</v>
      </c>
      <c r="AA1990" s="2">
        <v>2</v>
      </c>
      <c r="AB1990" s="2">
        <v>1</v>
      </c>
      <c r="AC1990" s="2">
        <v>4</v>
      </c>
      <c r="AD1990" s="2">
        <v>4</v>
      </c>
      <c r="AE1990" s="2" t="s">
        <v>0</v>
      </c>
      <c r="AF1990" s="2">
        <v>1</v>
      </c>
      <c r="AG1990" s="2" t="s">
        <v>49</v>
      </c>
    </row>
    <row r="1991" spans="1:33" ht="89.25" x14ac:dyDescent="0.2">
      <c r="A1991" s="5" t="str">
        <f>HYPERLINK("http://www.patentics.cn/invokexml.do?sf=ShowPatent&amp;spn=US9055470&amp;sv=b40ebda4a8c4c147ce68c9dac7afae63","US9055470")</f>
        <v>US9055470</v>
      </c>
      <c r="B1991" s="3" t="s">
        <v>9051</v>
      </c>
      <c r="C1991" s="3" t="s">
        <v>9052</v>
      </c>
      <c r="D1991" s="3" t="s">
        <v>52</v>
      </c>
      <c r="E1991" s="3" t="s">
        <v>52</v>
      </c>
      <c r="F1991" s="3" t="s">
        <v>9053</v>
      </c>
      <c r="G1991" s="3" t="s">
        <v>9054</v>
      </c>
      <c r="H1991" s="3" t="s">
        <v>4487</v>
      </c>
      <c r="I1991" s="3" t="s">
        <v>4487</v>
      </c>
      <c r="J1991" s="3" t="s">
        <v>1154</v>
      </c>
      <c r="K1991" s="3" t="s">
        <v>82</v>
      </c>
      <c r="L1991" s="3" t="s">
        <v>9055</v>
      </c>
      <c r="M1991" s="3" t="s">
        <v>0</v>
      </c>
      <c r="N1991" s="3" t="s">
        <v>0</v>
      </c>
      <c r="O1991" s="3">
        <v>0</v>
      </c>
      <c r="P1991" s="3">
        <v>11</v>
      </c>
      <c r="Q1991" s="3" t="s">
        <v>60</v>
      </c>
      <c r="R1991" s="3" t="s">
        <v>61</v>
      </c>
      <c r="S1991" s="3">
        <v>20</v>
      </c>
      <c r="T1991" s="3">
        <v>4</v>
      </c>
      <c r="U1991" s="3">
        <v>16</v>
      </c>
      <c r="V1991" s="3">
        <v>10</v>
      </c>
      <c r="W1991" s="3">
        <v>1</v>
      </c>
      <c r="X1991" s="3" t="s">
        <v>1186</v>
      </c>
      <c r="Y1991" s="3">
        <v>1</v>
      </c>
      <c r="Z1991" s="3">
        <v>0</v>
      </c>
      <c r="AA1991" s="3">
        <v>1</v>
      </c>
      <c r="AB1991" s="3">
        <v>1</v>
      </c>
      <c r="AC1991" s="3">
        <v>3</v>
      </c>
      <c r="AD1991" s="3">
        <v>3</v>
      </c>
      <c r="AE1991" s="3">
        <v>14</v>
      </c>
      <c r="AF1991" s="3" t="s">
        <v>0</v>
      </c>
      <c r="AG1991" s="3" t="s">
        <v>49</v>
      </c>
    </row>
    <row r="1992" spans="1:33" ht="25.5" x14ac:dyDescent="0.2">
      <c r="A1992" s="4" t="str">
        <f>HYPERLINK("http://www.patentics.cn/invokexml.do?sf=ShowPatent&amp;spn=US20140092858&amp;sv=65ba6bfa65196674d2cfa4035a1f6b3c","US20140092858")</f>
        <v>US20140092858</v>
      </c>
      <c r="B1992" s="2" t="s">
        <v>9056</v>
      </c>
      <c r="C1992" s="2" t="s">
        <v>9057</v>
      </c>
      <c r="D1992" s="2" t="s">
        <v>346</v>
      </c>
      <c r="E1992" s="2" t="s">
        <v>346</v>
      </c>
      <c r="F1992" s="2" t="s">
        <v>9058</v>
      </c>
      <c r="G1992" s="2" t="s">
        <v>9058</v>
      </c>
      <c r="H1992" s="2" t="s">
        <v>9059</v>
      </c>
      <c r="I1992" s="2" t="s">
        <v>6688</v>
      </c>
      <c r="J1992" s="2" t="s">
        <v>2275</v>
      </c>
      <c r="K1992" s="2" t="s">
        <v>82</v>
      </c>
      <c r="L1992" s="2" t="s">
        <v>2355</v>
      </c>
      <c r="M1992" s="2" t="s">
        <v>82</v>
      </c>
      <c r="N1992" s="2" t="s">
        <v>9060</v>
      </c>
      <c r="O1992" s="2">
        <v>9</v>
      </c>
      <c r="P1992" s="2">
        <v>10</v>
      </c>
      <c r="Q1992" s="2" t="s">
        <v>352</v>
      </c>
      <c r="R1992" s="2" t="s">
        <v>47</v>
      </c>
      <c r="S1992" s="2">
        <v>0</v>
      </c>
      <c r="T1992" s="2">
        <v>0</v>
      </c>
      <c r="U1992" s="2">
        <v>0</v>
      </c>
      <c r="V1992" s="2">
        <v>0</v>
      </c>
      <c r="W1992" s="2">
        <v>1</v>
      </c>
      <c r="X1992" s="2" t="s">
        <v>403</v>
      </c>
      <c r="Y1992" s="2">
        <v>0</v>
      </c>
      <c r="Z1992" s="2">
        <v>1</v>
      </c>
      <c r="AA1992" s="2">
        <v>1</v>
      </c>
      <c r="AB1992" s="2">
        <v>1</v>
      </c>
      <c r="AC1992" s="2">
        <v>3</v>
      </c>
      <c r="AD1992" s="2">
        <v>4</v>
      </c>
      <c r="AE1992" s="2" t="s">
        <v>0</v>
      </c>
      <c r="AF1992" s="2">
        <v>1</v>
      </c>
      <c r="AG1992" s="2" t="s">
        <v>2231</v>
      </c>
    </row>
    <row r="1993" spans="1:33" ht="114.75" x14ac:dyDescent="0.2">
      <c r="A1993" s="5" t="str">
        <f>HYPERLINK("http://www.patentics.cn/invokexml.do?sf=ShowPatent&amp;spn=US9456426&amp;sv=fdefb0a5629033d8fad3cc42ad82e0a1","US9456426")</f>
        <v>US9456426</v>
      </c>
      <c r="B1993" s="3" t="s">
        <v>9061</v>
      </c>
      <c r="C1993" s="3" t="s">
        <v>9062</v>
      </c>
      <c r="D1993" s="3" t="s">
        <v>52</v>
      </c>
      <c r="E1993" s="3" t="s">
        <v>52</v>
      </c>
      <c r="F1993" s="3" t="s">
        <v>9063</v>
      </c>
      <c r="G1993" s="3" t="s">
        <v>9064</v>
      </c>
      <c r="H1993" s="3" t="s">
        <v>0</v>
      </c>
      <c r="I1993" s="3" t="s">
        <v>9065</v>
      </c>
      <c r="J1993" s="3" t="s">
        <v>721</v>
      </c>
      <c r="K1993" s="3" t="s">
        <v>84</v>
      </c>
      <c r="L1993" s="3" t="s">
        <v>784</v>
      </c>
      <c r="M1993" s="3" t="s">
        <v>82</v>
      </c>
      <c r="N1993" s="3" t="s">
        <v>5752</v>
      </c>
      <c r="O1993" s="3">
        <v>0</v>
      </c>
      <c r="P1993" s="3">
        <v>9</v>
      </c>
      <c r="Q1993" s="3" t="s">
        <v>60</v>
      </c>
      <c r="R1993" s="3" t="s">
        <v>61</v>
      </c>
      <c r="S1993" s="3">
        <v>23</v>
      </c>
      <c r="T1993" s="3">
        <v>3</v>
      </c>
      <c r="U1993" s="3">
        <v>20</v>
      </c>
      <c r="V1993" s="3">
        <v>10</v>
      </c>
      <c r="W1993" s="3">
        <v>0</v>
      </c>
      <c r="X1993" s="3" t="s">
        <v>147</v>
      </c>
      <c r="Y1993" s="3">
        <v>0</v>
      </c>
      <c r="Z1993" s="3">
        <v>0</v>
      </c>
      <c r="AA1993" s="3">
        <v>0</v>
      </c>
      <c r="AB1993" s="3">
        <v>0</v>
      </c>
      <c r="AC1993" s="3">
        <v>0</v>
      </c>
      <c r="AD1993" s="3">
        <v>0</v>
      </c>
      <c r="AE1993" s="3">
        <v>14</v>
      </c>
      <c r="AF1993" s="3" t="s">
        <v>0</v>
      </c>
      <c r="AG1993" s="3" t="s">
        <v>49</v>
      </c>
    </row>
    <row r="1994" spans="1:33" ht="127.5" x14ac:dyDescent="0.2">
      <c r="A1994" s="4" t="str">
        <f>HYPERLINK("http://www.patentics.cn/invokexml.do?sf=ShowPatent&amp;spn=US20140029428&amp;sv=b5a5a260ab043a047db3a6165c011c6b","US20140029428")</f>
        <v>US20140029428</v>
      </c>
      <c r="B1994" s="2" t="s">
        <v>9066</v>
      </c>
      <c r="C1994" s="2" t="s">
        <v>9067</v>
      </c>
      <c r="D1994" s="2" t="s">
        <v>346</v>
      </c>
      <c r="E1994" s="2" t="s">
        <v>346</v>
      </c>
      <c r="F1994" s="2" t="s">
        <v>9068</v>
      </c>
      <c r="G1994" s="2" t="s">
        <v>9069</v>
      </c>
      <c r="H1994" s="2" t="s">
        <v>4321</v>
      </c>
      <c r="I1994" s="2" t="s">
        <v>4761</v>
      </c>
      <c r="J1994" s="2" t="s">
        <v>968</v>
      </c>
      <c r="K1994" s="2" t="s">
        <v>82</v>
      </c>
      <c r="L1994" s="2" t="s">
        <v>9070</v>
      </c>
      <c r="M1994" s="2" t="s">
        <v>82</v>
      </c>
      <c r="N1994" s="2" t="s">
        <v>9071</v>
      </c>
      <c r="O1994" s="2">
        <v>12</v>
      </c>
      <c r="P1994" s="2">
        <v>11</v>
      </c>
      <c r="Q1994" s="2" t="s">
        <v>352</v>
      </c>
      <c r="R1994" s="2" t="s">
        <v>47</v>
      </c>
      <c r="S1994" s="2">
        <v>0</v>
      </c>
      <c r="T1994" s="2">
        <v>0</v>
      </c>
      <c r="U1994" s="2">
        <v>0</v>
      </c>
      <c r="V1994" s="2">
        <v>0</v>
      </c>
      <c r="W1994" s="2">
        <v>1</v>
      </c>
      <c r="X1994" s="2" t="s">
        <v>403</v>
      </c>
      <c r="Y1994" s="2">
        <v>0</v>
      </c>
      <c r="Z1994" s="2">
        <v>1</v>
      </c>
      <c r="AA1994" s="2">
        <v>1</v>
      </c>
      <c r="AB1994" s="2">
        <v>1</v>
      </c>
      <c r="AC1994" s="2">
        <v>3</v>
      </c>
      <c r="AD1994" s="2">
        <v>3</v>
      </c>
      <c r="AE1994" s="2" t="s">
        <v>0</v>
      </c>
      <c r="AF1994" s="2">
        <v>1</v>
      </c>
      <c r="AG1994" s="2" t="s">
        <v>49</v>
      </c>
    </row>
    <row r="1995" spans="1:33" ht="89.25" x14ac:dyDescent="0.2">
      <c r="A1995" s="5" t="str">
        <f>HYPERLINK("http://www.patentics.cn/invokexml.do?sf=ShowPatent&amp;spn=US9521612&amp;sv=2e0f0c4cf6bff82643b7b79a618e019c","US9521612")</f>
        <v>US9521612</v>
      </c>
      <c r="B1995" s="3" t="s">
        <v>9072</v>
      </c>
      <c r="C1995" s="3" t="s">
        <v>9073</v>
      </c>
      <c r="D1995" s="3" t="s">
        <v>52</v>
      </c>
      <c r="E1995" s="3" t="s">
        <v>52</v>
      </c>
      <c r="F1995" s="3" t="s">
        <v>9074</v>
      </c>
      <c r="G1995" s="3" t="s">
        <v>9054</v>
      </c>
      <c r="H1995" s="3" t="s">
        <v>8817</v>
      </c>
      <c r="I1995" s="3" t="s">
        <v>1045</v>
      </c>
      <c r="J1995" s="3" t="s">
        <v>332</v>
      </c>
      <c r="K1995" s="3" t="s">
        <v>82</v>
      </c>
      <c r="L1995" s="3" t="s">
        <v>3345</v>
      </c>
      <c r="M1995" s="3" t="s">
        <v>82</v>
      </c>
      <c r="N1995" s="3" t="s">
        <v>2253</v>
      </c>
      <c r="O1995" s="3">
        <v>0</v>
      </c>
      <c r="P1995" s="3">
        <v>9</v>
      </c>
      <c r="Q1995" s="3" t="s">
        <v>60</v>
      </c>
      <c r="R1995" s="3" t="s">
        <v>61</v>
      </c>
      <c r="S1995" s="3">
        <v>20</v>
      </c>
      <c r="T1995" s="3">
        <v>1</v>
      </c>
      <c r="U1995" s="3">
        <v>19</v>
      </c>
      <c r="V1995" s="3">
        <v>15</v>
      </c>
      <c r="W1995" s="3">
        <v>0</v>
      </c>
      <c r="X1995" s="3" t="s">
        <v>147</v>
      </c>
      <c r="Y1995" s="3">
        <v>0</v>
      </c>
      <c r="Z1995" s="3">
        <v>0</v>
      </c>
      <c r="AA1995" s="3">
        <v>0</v>
      </c>
      <c r="AB1995" s="3">
        <v>0</v>
      </c>
      <c r="AC1995" s="3">
        <v>3</v>
      </c>
      <c r="AD1995" s="3">
        <v>2</v>
      </c>
      <c r="AE1995" s="3">
        <v>14</v>
      </c>
      <c r="AF1995" s="3" t="s">
        <v>0</v>
      </c>
      <c r="AG1995" s="3" t="s">
        <v>49</v>
      </c>
    </row>
    <row r="1996" spans="1:33" ht="153" x14ac:dyDescent="0.2">
      <c r="A1996" s="4" t="str">
        <f>HYPERLINK("http://www.patentics.cn/invokexml.do?sf=ShowPatent&amp;spn=US20140016725&amp;sv=40bcaab26318c19bd3309e5a5b719574","US20140016725")</f>
        <v>US20140016725</v>
      </c>
      <c r="B1996" s="2" t="s">
        <v>9075</v>
      </c>
      <c r="C1996" s="2" t="s">
        <v>9076</v>
      </c>
      <c r="D1996" s="2" t="s">
        <v>346</v>
      </c>
      <c r="E1996" s="2" t="s">
        <v>346</v>
      </c>
      <c r="F1996" s="2" t="s">
        <v>9077</v>
      </c>
      <c r="G1996" s="2" t="s">
        <v>9078</v>
      </c>
      <c r="H1996" s="2" t="s">
        <v>3450</v>
      </c>
      <c r="I1996" s="2" t="s">
        <v>3450</v>
      </c>
      <c r="J1996" s="2" t="s">
        <v>3163</v>
      </c>
      <c r="K1996" s="2" t="s">
        <v>84</v>
      </c>
      <c r="L1996" s="2" t="s">
        <v>506</v>
      </c>
      <c r="M1996" s="2" t="s">
        <v>84</v>
      </c>
      <c r="N1996" s="2" t="s">
        <v>4566</v>
      </c>
      <c r="O1996" s="2">
        <v>20</v>
      </c>
      <c r="P1996" s="2">
        <v>19</v>
      </c>
      <c r="Q1996" s="2" t="s">
        <v>352</v>
      </c>
      <c r="R1996" s="2" t="s">
        <v>47</v>
      </c>
      <c r="S1996" s="2">
        <v>0</v>
      </c>
      <c r="T1996" s="2">
        <v>0</v>
      </c>
      <c r="U1996" s="2">
        <v>0</v>
      </c>
      <c r="V1996" s="2">
        <v>0</v>
      </c>
      <c r="W1996" s="2">
        <v>2</v>
      </c>
      <c r="X1996" s="2" t="s">
        <v>373</v>
      </c>
      <c r="Y1996" s="2">
        <v>0</v>
      </c>
      <c r="Z1996" s="2">
        <v>2</v>
      </c>
      <c r="AA1996" s="2">
        <v>2</v>
      </c>
      <c r="AB1996" s="2">
        <v>1</v>
      </c>
      <c r="AC1996" s="2">
        <v>5</v>
      </c>
      <c r="AD1996" s="2">
        <v>4</v>
      </c>
      <c r="AE1996" s="2" t="s">
        <v>0</v>
      </c>
      <c r="AF1996" s="2">
        <v>1</v>
      </c>
      <c r="AG1996" s="2" t="s">
        <v>49</v>
      </c>
    </row>
    <row r="1997" spans="1:33" ht="51" x14ac:dyDescent="0.2">
      <c r="A1997" s="5" t="str">
        <f>HYPERLINK("http://www.patentics.cn/invokexml.do?sf=ShowPatent&amp;spn=US9112649&amp;sv=2501e01875483758e6a7fa7141217c56","US9112649")</f>
        <v>US9112649</v>
      </c>
      <c r="B1997" s="3" t="s">
        <v>9079</v>
      </c>
      <c r="C1997" s="3" t="s">
        <v>9080</v>
      </c>
      <c r="D1997" s="3" t="s">
        <v>52</v>
      </c>
      <c r="E1997" s="3" t="s">
        <v>52</v>
      </c>
      <c r="F1997" s="3" t="s">
        <v>9081</v>
      </c>
      <c r="G1997" s="3" t="s">
        <v>9082</v>
      </c>
      <c r="H1997" s="3" t="s">
        <v>2678</v>
      </c>
      <c r="I1997" s="3" t="s">
        <v>2678</v>
      </c>
      <c r="J1997" s="3" t="s">
        <v>2440</v>
      </c>
      <c r="K1997" s="3" t="s">
        <v>58</v>
      </c>
      <c r="L1997" s="3" t="s">
        <v>9083</v>
      </c>
      <c r="M1997" s="3" t="s">
        <v>0</v>
      </c>
      <c r="N1997" s="3" t="s">
        <v>0</v>
      </c>
      <c r="O1997" s="3">
        <v>0</v>
      </c>
      <c r="P1997" s="3">
        <v>13</v>
      </c>
      <c r="Q1997" s="3" t="s">
        <v>60</v>
      </c>
      <c r="R1997" s="3" t="s">
        <v>61</v>
      </c>
      <c r="S1997" s="3">
        <v>23</v>
      </c>
      <c r="T1997" s="3">
        <v>1</v>
      </c>
      <c r="U1997" s="3">
        <v>22</v>
      </c>
      <c r="V1997" s="3">
        <v>17</v>
      </c>
      <c r="W1997" s="3">
        <v>0</v>
      </c>
      <c r="X1997" s="3" t="s">
        <v>147</v>
      </c>
      <c r="Y1997" s="3">
        <v>0</v>
      </c>
      <c r="Z1997" s="3">
        <v>0</v>
      </c>
      <c r="AA1997" s="3">
        <v>0</v>
      </c>
      <c r="AB1997" s="3">
        <v>0</v>
      </c>
      <c r="AC1997" s="3">
        <v>5</v>
      </c>
      <c r="AD1997" s="3">
        <v>5</v>
      </c>
      <c r="AE1997" s="3">
        <v>14</v>
      </c>
      <c r="AF1997" s="3" t="s">
        <v>0</v>
      </c>
      <c r="AG1997" s="3" t="s">
        <v>49</v>
      </c>
    </row>
    <row r="1998" spans="1:33" ht="38.25" x14ac:dyDescent="0.2">
      <c r="A1998" s="4" t="str">
        <f>HYPERLINK("http://www.patentics.cn/invokexml.do?sf=ShowPatent&amp;spn=US20140010206&amp;sv=28a14230fd8c6f44186d37d4a826b3d8","US20140010206")</f>
        <v>US20140010206</v>
      </c>
      <c r="B1998" s="2" t="s">
        <v>9084</v>
      </c>
      <c r="C1998" s="2" t="s">
        <v>9085</v>
      </c>
      <c r="D1998" s="2" t="s">
        <v>346</v>
      </c>
      <c r="E1998" s="2" t="s">
        <v>346</v>
      </c>
      <c r="F1998" s="2" t="s">
        <v>9086</v>
      </c>
      <c r="G1998" s="2" t="s">
        <v>9087</v>
      </c>
      <c r="H1998" s="2" t="s">
        <v>4778</v>
      </c>
      <c r="I1998" s="2" t="s">
        <v>2810</v>
      </c>
      <c r="J1998" s="2" t="s">
        <v>4756</v>
      </c>
      <c r="K1998" s="2" t="s">
        <v>82</v>
      </c>
      <c r="L1998" s="2" t="s">
        <v>177</v>
      </c>
      <c r="M1998" s="2" t="s">
        <v>82</v>
      </c>
      <c r="N1998" s="2" t="s">
        <v>9088</v>
      </c>
      <c r="O1998" s="2">
        <v>18</v>
      </c>
      <c r="P1998" s="2">
        <v>15</v>
      </c>
      <c r="Q1998" s="2" t="s">
        <v>352</v>
      </c>
      <c r="R1998" s="2" t="s">
        <v>47</v>
      </c>
      <c r="S1998" s="2">
        <v>0</v>
      </c>
      <c r="T1998" s="2">
        <v>0</v>
      </c>
      <c r="U1998" s="2">
        <v>0</v>
      </c>
      <c r="V1998" s="2">
        <v>0</v>
      </c>
      <c r="W1998" s="2">
        <v>1</v>
      </c>
      <c r="X1998" s="2" t="s">
        <v>403</v>
      </c>
      <c r="Y1998" s="2">
        <v>0</v>
      </c>
      <c r="Z1998" s="2">
        <v>1</v>
      </c>
      <c r="AA1998" s="2">
        <v>1</v>
      </c>
      <c r="AB1998" s="2">
        <v>1</v>
      </c>
      <c r="AC1998" s="2">
        <v>4</v>
      </c>
      <c r="AD1998" s="2">
        <v>4</v>
      </c>
      <c r="AE1998" s="2" t="s">
        <v>0</v>
      </c>
      <c r="AF1998" s="2">
        <v>1</v>
      </c>
      <c r="AG1998" s="2" t="s">
        <v>49</v>
      </c>
    </row>
    <row r="1999" spans="1:33" ht="76.5" x14ac:dyDescent="0.2">
      <c r="A1999" s="5" t="str">
        <f>HYPERLINK("http://www.patentics.cn/invokexml.do?sf=ShowPatent&amp;spn=US9491575&amp;sv=1fa081ae3c42e9c0cb1414f4891a98a3","US9491575")</f>
        <v>US9491575</v>
      </c>
      <c r="B1999" s="3" t="s">
        <v>9089</v>
      </c>
      <c r="C1999" s="3" t="s">
        <v>9090</v>
      </c>
      <c r="D1999" s="3" t="s">
        <v>52</v>
      </c>
      <c r="E1999" s="3" t="s">
        <v>52</v>
      </c>
      <c r="F1999" s="3" t="s">
        <v>9091</v>
      </c>
      <c r="G1999" s="3" t="s">
        <v>2846</v>
      </c>
      <c r="H1999" s="3" t="s">
        <v>9092</v>
      </c>
      <c r="I1999" s="3" t="s">
        <v>9093</v>
      </c>
      <c r="J1999" s="3" t="s">
        <v>7478</v>
      </c>
      <c r="K1999" s="3" t="s">
        <v>82</v>
      </c>
      <c r="L1999" s="3" t="s">
        <v>2841</v>
      </c>
      <c r="M1999" s="3" t="s">
        <v>82</v>
      </c>
      <c r="N1999" s="3" t="s">
        <v>5880</v>
      </c>
      <c r="O1999" s="3">
        <v>0</v>
      </c>
      <c r="P1999" s="3">
        <v>13</v>
      </c>
      <c r="Q1999" s="3" t="s">
        <v>60</v>
      </c>
      <c r="R1999" s="3" t="s">
        <v>61</v>
      </c>
      <c r="S1999" s="3">
        <v>19</v>
      </c>
      <c r="T1999" s="3">
        <v>3</v>
      </c>
      <c r="U1999" s="3">
        <v>16</v>
      </c>
      <c r="V1999" s="3">
        <v>15</v>
      </c>
      <c r="W1999" s="3">
        <v>0</v>
      </c>
      <c r="X1999" s="3" t="s">
        <v>147</v>
      </c>
      <c r="Y1999" s="3">
        <v>0</v>
      </c>
      <c r="Z1999" s="3">
        <v>0</v>
      </c>
      <c r="AA1999" s="3">
        <v>0</v>
      </c>
      <c r="AB1999" s="3">
        <v>0</v>
      </c>
      <c r="AC1999" s="3">
        <v>5</v>
      </c>
      <c r="AD1999" s="3">
        <v>5</v>
      </c>
      <c r="AE1999" s="3">
        <v>14</v>
      </c>
      <c r="AF1999" s="3" t="s">
        <v>0</v>
      </c>
      <c r="AG1999" s="3" t="s">
        <v>49</v>
      </c>
    </row>
    <row r="2000" spans="1:33" ht="51" x14ac:dyDescent="0.2">
      <c r="A2000" s="4" t="str">
        <f>HYPERLINK("http://www.patentics.cn/invokexml.do?sf=ShowPatent&amp;spn=US20130279516&amp;sv=e4de41e7056b93e25f4005a2442dc2f3","US20130279516")</f>
        <v>US20130279516</v>
      </c>
      <c r="B2000" s="2" t="s">
        <v>9094</v>
      </c>
      <c r="C2000" s="2" t="s">
        <v>9095</v>
      </c>
      <c r="D2000" s="2" t="s">
        <v>346</v>
      </c>
      <c r="E2000" s="2" t="s">
        <v>346</v>
      </c>
      <c r="F2000" s="2" t="s">
        <v>9096</v>
      </c>
      <c r="G2000" s="2" t="s">
        <v>9096</v>
      </c>
      <c r="H2000" s="2" t="s">
        <v>9097</v>
      </c>
      <c r="I2000" s="2" t="s">
        <v>9098</v>
      </c>
      <c r="J2000" s="2" t="s">
        <v>9099</v>
      </c>
      <c r="K2000" s="2" t="s">
        <v>58</v>
      </c>
      <c r="L2000" s="2" t="s">
        <v>4867</v>
      </c>
      <c r="M2000" s="2" t="s">
        <v>58</v>
      </c>
      <c r="N2000" s="2" t="s">
        <v>9100</v>
      </c>
      <c r="O2000" s="2">
        <v>16</v>
      </c>
      <c r="P2000" s="2">
        <v>9</v>
      </c>
      <c r="Q2000" s="2" t="s">
        <v>352</v>
      </c>
      <c r="R2000" s="2" t="s">
        <v>47</v>
      </c>
      <c r="S2000" s="2">
        <v>0</v>
      </c>
      <c r="T2000" s="2">
        <v>0</v>
      </c>
      <c r="U2000" s="2">
        <v>0</v>
      </c>
      <c r="V2000" s="2">
        <v>0</v>
      </c>
      <c r="W2000" s="2">
        <v>2</v>
      </c>
      <c r="X2000" s="2" t="s">
        <v>468</v>
      </c>
      <c r="Y2000" s="2">
        <v>0</v>
      </c>
      <c r="Z2000" s="2">
        <v>2</v>
      </c>
      <c r="AA2000" s="2">
        <v>2</v>
      </c>
      <c r="AB2000" s="2">
        <v>1</v>
      </c>
      <c r="AC2000" s="2">
        <v>6</v>
      </c>
      <c r="AD2000" s="2">
        <v>5</v>
      </c>
      <c r="AE2000" s="2" t="s">
        <v>0</v>
      </c>
      <c r="AF2000" s="2">
        <v>1</v>
      </c>
      <c r="AG2000" s="2" t="s">
        <v>49</v>
      </c>
    </row>
    <row r="2001" spans="1:33" ht="102" x14ac:dyDescent="0.2">
      <c r="A2001" s="5" t="str">
        <f>HYPERLINK("http://www.patentics.cn/invokexml.do?sf=ShowPatent&amp;spn=US9538421&amp;sv=3ea260db7848a8e9b97a1cf62615f3cf","US9538421")</f>
        <v>US9538421</v>
      </c>
      <c r="B2001" s="3" t="s">
        <v>9101</v>
      </c>
      <c r="C2001" s="3" t="s">
        <v>9102</v>
      </c>
      <c r="D2001" s="3" t="s">
        <v>52</v>
      </c>
      <c r="E2001" s="3" t="s">
        <v>52</v>
      </c>
      <c r="F2001" s="3" t="s">
        <v>9103</v>
      </c>
      <c r="G2001" s="3" t="s">
        <v>9104</v>
      </c>
      <c r="H2001" s="3" t="s">
        <v>9105</v>
      </c>
      <c r="I2001" s="3" t="s">
        <v>9105</v>
      </c>
      <c r="J2001" s="3" t="s">
        <v>8948</v>
      </c>
      <c r="K2001" s="3" t="s">
        <v>82</v>
      </c>
      <c r="L2001" s="3" t="s">
        <v>1177</v>
      </c>
      <c r="M2001" s="3" t="s">
        <v>82</v>
      </c>
      <c r="N2001" s="3" t="s">
        <v>7100</v>
      </c>
      <c r="O2001" s="3">
        <v>0</v>
      </c>
      <c r="P2001" s="3">
        <v>21</v>
      </c>
      <c r="Q2001" s="3" t="s">
        <v>60</v>
      </c>
      <c r="R2001" s="3" t="s">
        <v>61</v>
      </c>
      <c r="S2001" s="3">
        <v>7</v>
      </c>
      <c r="T2001" s="3">
        <v>2</v>
      </c>
      <c r="U2001" s="3">
        <v>5</v>
      </c>
      <c r="V2001" s="3">
        <v>6</v>
      </c>
      <c r="W2001" s="3">
        <v>0</v>
      </c>
      <c r="X2001" s="3" t="s">
        <v>147</v>
      </c>
      <c r="Y2001" s="3">
        <v>0</v>
      </c>
      <c r="Z2001" s="3">
        <v>0</v>
      </c>
      <c r="AA2001" s="3">
        <v>0</v>
      </c>
      <c r="AB2001" s="3">
        <v>0</v>
      </c>
      <c r="AC2001" s="3">
        <v>2</v>
      </c>
      <c r="AD2001" s="3">
        <v>2</v>
      </c>
      <c r="AE2001" s="3">
        <v>14</v>
      </c>
      <c r="AF2001" s="3" t="s">
        <v>0</v>
      </c>
      <c r="AG2001" s="3" t="s">
        <v>49</v>
      </c>
    </row>
    <row r="2002" spans="1:33" ht="51" x14ac:dyDescent="0.2">
      <c r="A2002" s="4" t="str">
        <f>HYPERLINK("http://www.patentics.cn/invokexml.do?sf=ShowPatent&amp;spn=US20130242796&amp;sv=387f527e974860a14f59f703d3bb675b","US20130242796")</f>
        <v>US20130242796</v>
      </c>
      <c r="B2002" s="2" t="s">
        <v>9106</v>
      </c>
      <c r="C2002" s="2" t="s">
        <v>9107</v>
      </c>
      <c r="D2002" s="2" t="s">
        <v>346</v>
      </c>
      <c r="E2002" s="2" t="s">
        <v>346</v>
      </c>
      <c r="F2002" s="2" t="s">
        <v>9108</v>
      </c>
      <c r="G2002" s="2" t="s">
        <v>9109</v>
      </c>
      <c r="H2002" s="2" t="s">
        <v>604</v>
      </c>
      <c r="I2002" s="2" t="s">
        <v>9110</v>
      </c>
      <c r="J2002" s="2" t="s">
        <v>4804</v>
      </c>
      <c r="K2002" s="2" t="s">
        <v>82</v>
      </c>
      <c r="L2002" s="2" t="s">
        <v>177</v>
      </c>
      <c r="M2002" s="2" t="s">
        <v>82</v>
      </c>
      <c r="N2002" s="2" t="s">
        <v>9111</v>
      </c>
      <c r="O2002" s="2">
        <v>18</v>
      </c>
      <c r="P2002" s="2">
        <v>11</v>
      </c>
      <c r="Q2002" s="2" t="s">
        <v>352</v>
      </c>
      <c r="R2002" s="2" t="s">
        <v>47</v>
      </c>
      <c r="S2002" s="2">
        <v>0</v>
      </c>
      <c r="T2002" s="2">
        <v>0</v>
      </c>
      <c r="U2002" s="2">
        <v>0</v>
      </c>
      <c r="V2002" s="2">
        <v>0</v>
      </c>
      <c r="W2002" s="2">
        <v>1</v>
      </c>
      <c r="X2002" s="2" t="s">
        <v>403</v>
      </c>
      <c r="Y2002" s="2">
        <v>0</v>
      </c>
      <c r="Z2002" s="2">
        <v>1</v>
      </c>
      <c r="AA2002" s="2">
        <v>1</v>
      </c>
      <c r="AB2002" s="2">
        <v>1</v>
      </c>
      <c r="AC2002" s="2">
        <v>5</v>
      </c>
      <c r="AD2002" s="2">
        <v>6</v>
      </c>
      <c r="AE2002" s="2" t="s">
        <v>0</v>
      </c>
      <c r="AF2002" s="2">
        <v>1</v>
      </c>
      <c r="AG2002" s="2" t="s">
        <v>2231</v>
      </c>
    </row>
    <row r="2003" spans="1:33" ht="102" x14ac:dyDescent="0.2">
      <c r="A2003" s="5" t="str">
        <f>HYPERLINK("http://www.patentics.cn/invokexml.do?sf=ShowPatent&amp;spn=US9277430&amp;sv=f3ce84534a95f31dee60a37699f3d668","US9277430")</f>
        <v>US9277430</v>
      </c>
      <c r="B2003" s="3" t="s">
        <v>9112</v>
      </c>
      <c r="C2003" s="3" t="s">
        <v>9113</v>
      </c>
      <c r="D2003" s="3" t="s">
        <v>52</v>
      </c>
      <c r="E2003" s="3" t="s">
        <v>52</v>
      </c>
      <c r="F2003" s="3" t="s">
        <v>9114</v>
      </c>
      <c r="G2003" s="3" t="s">
        <v>9115</v>
      </c>
      <c r="H2003" s="3" t="s">
        <v>7253</v>
      </c>
      <c r="I2003" s="3" t="s">
        <v>7253</v>
      </c>
      <c r="J2003" s="3" t="s">
        <v>965</v>
      </c>
      <c r="K2003" s="3" t="s">
        <v>82</v>
      </c>
      <c r="L2003" s="3" t="s">
        <v>835</v>
      </c>
      <c r="M2003" s="3" t="s">
        <v>82</v>
      </c>
      <c r="N2003" s="3" t="s">
        <v>772</v>
      </c>
      <c r="O2003" s="3">
        <v>0</v>
      </c>
      <c r="P2003" s="3">
        <v>21</v>
      </c>
      <c r="Q2003" s="3" t="s">
        <v>60</v>
      </c>
      <c r="R2003" s="3" t="s">
        <v>61</v>
      </c>
      <c r="S2003" s="3">
        <v>18</v>
      </c>
      <c r="T2003" s="3">
        <v>1</v>
      </c>
      <c r="U2003" s="3">
        <v>17</v>
      </c>
      <c r="V2003" s="3">
        <v>11</v>
      </c>
      <c r="W2003" s="3">
        <v>0</v>
      </c>
      <c r="X2003" s="3" t="s">
        <v>147</v>
      </c>
      <c r="Y2003" s="3">
        <v>0</v>
      </c>
      <c r="Z2003" s="3">
        <v>0</v>
      </c>
      <c r="AA2003" s="3">
        <v>0</v>
      </c>
      <c r="AB2003" s="3">
        <v>0</v>
      </c>
      <c r="AC2003" s="3">
        <v>3</v>
      </c>
      <c r="AD2003" s="3">
        <v>3</v>
      </c>
      <c r="AE2003" s="3">
        <v>14</v>
      </c>
      <c r="AF2003" s="3" t="s">
        <v>0</v>
      </c>
      <c r="AG2003" s="3" t="s">
        <v>49</v>
      </c>
    </row>
    <row r="2004" spans="1:33" ht="76.5" x14ac:dyDescent="0.2">
      <c r="A2004" s="4" t="str">
        <f>HYPERLINK("http://www.patentics.cn/invokexml.do?sf=ShowPatent&amp;spn=US20130195018&amp;sv=63da1e8c8561a920ec2a7f15574352ae","US20130195018")</f>
        <v>US20130195018</v>
      </c>
      <c r="B2004" s="2" t="s">
        <v>9116</v>
      </c>
      <c r="C2004" s="2" t="s">
        <v>9117</v>
      </c>
      <c r="D2004" s="2" t="s">
        <v>346</v>
      </c>
      <c r="E2004" s="2" t="s">
        <v>346</v>
      </c>
      <c r="F2004" s="2" t="s">
        <v>9118</v>
      </c>
      <c r="G2004" s="2" t="s">
        <v>9119</v>
      </c>
      <c r="H2004" s="2" t="s">
        <v>8406</v>
      </c>
      <c r="I2004" s="2" t="s">
        <v>2711</v>
      </c>
      <c r="J2004" s="2" t="s">
        <v>9120</v>
      </c>
      <c r="K2004" s="2" t="s">
        <v>82</v>
      </c>
      <c r="L2004" s="2" t="s">
        <v>3335</v>
      </c>
      <c r="M2004" s="2" t="s">
        <v>82</v>
      </c>
      <c r="N2004" s="2" t="s">
        <v>807</v>
      </c>
      <c r="O2004" s="2">
        <v>26</v>
      </c>
      <c r="P2004" s="2">
        <v>15</v>
      </c>
      <c r="Q2004" s="2" t="s">
        <v>352</v>
      </c>
      <c r="R2004" s="2" t="s">
        <v>47</v>
      </c>
      <c r="S2004" s="2">
        <v>0</v>
      </c>
      <c r="T2004" s="2">
        <v>0</v>
      </c>
      <c r="U2004" s="2">
        <v>0</v>
      </c>
      <c r="V2004" s="2">
        <v>0</v>
      </c>
      <c r="W2004" s="2">
        <v>2</v>
      </c>
      <c r="X2004" s="2" t="s">
        <v>189</v>
      </c>
      <c r="Y2004" s="2">
        <v>0</v>
      </c>
      <c r="Z2004" s="2">
        <v>2</v>
      </c>
      <c r="AA2004" s="2">
        <v>2</v>
      </c>
      <c r="AB2004" s="2">
        <v>1</v>
      </c>
      <c r="AC2004" s="2">
        <v>3</v>
      </c>
      <c r="AD2004" s="2">
        <v>4</v>
      </c>
      <c r="AE2004" s="2" t="s">
        <v>0</v>
      </c>
      <c r="AF2004" s="2">
        <v>1</v>
      </c>
      <c r="AG2004" s="2" t="s">
        <v>2231</v>
      </c>
    </row>
    <row r="2005" spans="1:33" ht="76.5" x14ac:dyDescent="0.2">
      <c r="A2005" s="5" t="str">
        <f>HYPERLINK("http://www.patentics.cn/invokexml.do?sf=ShowPatent&amp;spn=US9503839&amp;sv=2e8e7efcdd929a3b626b5094717fc4af","US9503839")</f>
        <v>US9503839</v>
      </c>
      <c r="B2005" s="3" t="s">
        <v>9121</v>
      </c>
      <c r="C2005" s="3" t="s">
        <v>9122</v>
      </c>
      <c r="D2005" s="3" t="s">
        <v>52</v>
      </c>
      <c r="E2005" s="3" t="s">
        <v>52</v>
      </c>
      <c r="F2005" s="3" t="s">
        <v>9123</v>
      </c>
      <c r="G2005" s="3" t="s">
        <v>9124</v>
      </c>
      <c r="H2005" s="3" t="s">
        <v>8940</v>
      </c>
      <c r="I2005" s="3" t="s">
        <v>9065</v>
      </c>
      <c r="J2005" s="3" t="s">
        <v>2472</v>
      </c>
      <c r="K2005" s="3" t="s">
        <v>82</v>
      </c>
      <c r="L2005" s="3" t="s">
        <v>226</v>
      </c>
      <c r="M2005" s="3" t="s">
        <v>82</v>
      </c>
      <c r="N2005" s="3" t="s">
        <v>9125</v>
      </c>
      <c r="O2005" s="3">
        <v>0</v>
      </c>
      <c r="P2005" s="3">
        <v>10</v>
      </c>
      <c r="Q2005" s="3" t="s">
        <v>60</v>
      </c>
      <c r="R2005" s="3" t="s">
        <v>61</v>
      </c>
      <c r="S2005" s="3">
        <v>20</v>
      </c>
      <c r="T2005" s="3">
        <v>2</v>
      </c>
      <c r="U2005" s="3">
        <v>18</v>
      </c>
      <c r="V2005" s="3">
        <v>12</v>
      </c>
      <c r="W2005" s="3">
        <v>0</v>
      </c>
      <c r="X2005" s="3" t="s">
        <v>147</v>
      </c>
      <c r="Y2005" s="3">
        <v>0</v>
      </c>
      <c r="Z2005" s="3">
        <v>0</v>
      </c>
      <c r="AA2005" s="3">
        <v>0</v>
      </c>
      <c r="AB2005" s="3">
        <v>0</v>
      </c>
      <c r="AC2005" s="3">
        <v>6</v>
      </c>
      <c r="AD2005" s="3">
        <v>6</v>
      </c>
      <c r="AE2005" s="3">
        <v>14</v>
      </c>
      <c r="AF2005" s="3" t="s">
        <v>0</v>
      </c>
      <c r="AG2005" s="3" t="s">
        <v>49</v>
      </c>
    </row>
    <row r="2006" spans="1:33" ht="25.5" x14ac:dyDescent="0.2">
      <c r="A2006" s="4" t="str">
        <f>HYPERLINK("http://www.patentics.cn/invokexml.do?sf=ShowPatent&amp;spn=US20130176991&amp;sv=90e0d244c1e5698c868ea8d60761f40b","US20130176991")</f>
        <v>US20130176991</v>
      </c>
      <c r="B2006" s="2" t="s">
        <v>9126</v>
      </c>
      <c r="C2006" s="2" t="s">
        <v>9127</v>
      </c>
      <c r="D2006" s="2" t="s">
        <v>346</v>
      </c>
      <c r="E2006" s="2" t="s">
        <v>346</v>
      </c>
      <c r="F2006" s="2" t="s">
        <v>9128</v>
      </c>
      <c r="G2006" s="2" t="s">
        <v>9128</v>
      </c>
      <c r="H2006" s="2" t="s">
        <v>1100</v>
      </c>
      <c r="I2006" s="2" t="s">
        <v>5058</v>
      </c>
      <c r="J2006" s="2" t="s">
        <v>9129</v>
      </c>
      <c r="K2006" s="2" t="s">
        <v>82</v>
      </c>
      <c r="L2006" s="2" t="s">
        <v>2222</v>
      </c>
      <c r="M2006" s="2" t="s">
        <v>82</v>
      </c>
      <c r="N2006" s="2" t="s">
        <v>9130</v>
      </c>
      <c r="O2006" s="2">
        <v>20</v>
      </c>
      <c r="P2006" s="2">
        <v>17</v>
      </c>
      <c r="Q2006" s="2" t="s">
        <v>352</v>
      </c>
      <c r="R2006" s="2" t="s">
        <v>47</v>
      </c>
      <c r="S2006" s="2">
        <v>1</v>
      </c>
      <c r="T2006" s="2">
        <v>0</v>
      </c>
      <c r="U2006" s="2">
        <v>1</v>
      </c>
      <c r="V2006" s="2">
        <v>1</v>
      </c>
      <c r="W2006" s="2">
        <v>28</v>
      </c>
      <c r="X2006" s="2" t="s">
        <v>7308</v>
      </c>
      <c r="Y2006" s="2">
        <v>0</v>
      </c>
      <c r="Z2006" s="2">
        <v>28</v>
      </c>
      <c r="AA2006" s="2">
        <v>8</v>
      </c>
      <c r="AB2006" s="2">
        <v>1</v>
      </c>
      <c r="AC2006" s="2">
        <v>5</v>
      </c>
      <c r="AD2006" s="2">
        <v>4</v>
      </c>
      <c r="AE2006" s="2" t="s">
        <v>0</v>
      </c>
      <c r="AF2006" s="2">
        <v>1</v>
      </c>
      <c r="AG2006" s="2" t="s">
        <v>49</v>
      </c>
    </row>
    <row r="2007" spans="1:33" ht="38.25" x14ac:dyDescent="0.2">
      <c r="A2007" s="5" t="str">
        <f>HYPERLINK("http://www.patentics.cn/invokexml.do?sf=ShowPatent&amp;spn=US9614700&amp;sv=4640dc851cfb232efe8285617d0534b0","US9614700")</f>
        <v>US9614700</v>
      </c>
      <c r="B2007" s="3" t="s">
        <v>9131</v>
      </c>
      <c r="C2007" s="3" t="s">
        <v>9132</v>
      </c>
      <c r="D2007" s="3" t="s">
        <v>52</v>
      </c>
      <c r="E2007" s="3" t="s">
        <v>52</v>
      </c>
      <c r="F2007" s="3" t="s">
        <v>9133</v>
      </c>
      <c r="G2007" s="3" t="s">
        <v>9133</v>
      </c>
      <c r="H2007" s="3" t="s">
        <v>0</v>
      </c>
      <c r="I2007" s="3" t="s">
        <v>3011</v>
      </c>
      <c r="J2007" s="3" t="s">
        <v>2990</v>
      </c>
      <c r="K2007" s="3" t="s">
        <v>58</v>
      </c>
      <c r="L2007" s="3" t="s">
        <v>3325</v>
      </c>
      <c r="M2007" s="3" t="s">
        <v>58</v>
      </c>
      <c r="N2007" s="3" t="s">
        <v>9134</v>
      </c>
      <c r="O2007" s="3">
        <v>0</v>
      </c>
      <c r="P2007" s="3">
        <v>26</v>
      </c>
      <c r="Q2007" s="3" t="s">
        <v>60</v>
      </c>
      <c r="R2007" s="3" t="s">
        <v>61</v>
      </c>
      <c r="S2007" s="3">
        <v>10</v>
      </c>
      <c r="T2007" s="3">
        <v>2</v>
      </c>
      <c r="U2007" s="3">
        <v>8</v>
      </c>
      <c r="V2007" s="3">
        <v>5</v>
      </c>
      <c r="W2007" s="3">
        <v>0</v>
      </c>
      <c r="X2007" s="3" t="s">
        <v>147</v>
      </c>
      <c r="Y2007" s="3">
        <v>0</v>
      </c>
      <c r="Z2007" s="3">
        <v>0</v>
      </c>
      <c r="AA2007" s="3">
        <v>0</v>
      </c>
      <c r="AB2007" s="3">
        <v>0</v>
      </c>
      <c r="AC2007" s="3">
        <v>0</v>
      </c>
      <c r="AD2007" s="3">
        <v>0</v>
      </c>
      <c r="AE2007" s="3">
        <v>14</v>
      </c>
      <c r="AF2007" s="3" t="s">
        <v>0</v>
      </c>
      <c r="AG2007" s="3" t="s">
        <v>49</v>
      </c>
    </row>
    <row r="2008" spans="1:33" ht="76.5" x14ac:dyDescent="0.2">
      <c r="A2008" s="4" t="str">
        <f>HYPERLINK("http://www.patentics.cn/invokexml.do?sf=ShowPatent&amp;spn=US20130148615&amp;sv=8cfcbdaeb67a9ac6ba67b3111d168508","US20130148615")</f>
        <v>US20130148615</v>
      </c>
      <c r="B2008" s="2" t="s">
        <v>9135</v>
      </c>
      <c r="C2008" s="2" t="s">
        <v>9136</v>
      </c>
      <c r="D2008" s="2" t="s">
        <v>346</v>
      </c>
      <c r="E2008" s="2" t="s">
        <v>346</v>
      </c>
      <c r="F2008" s="2" t="s">
        <v>9137</v>
      </c>
      <c r="G2008" s="2" t="s">
        <v>9138</v>
      </c>
      <c r="H2008" s="2" t="s">
        <v>5675</v>
      </c>
      <c r="I2008" s="2" t="s">
        <v>3618</v>
      </c>
      <c r="J2008" s="2" t="s">
        <v>1886</v>
      </c>
      <c r="K2008" s="2" t="s">
        <v>82</v>
      </c>
      <c r="L2008" s="2" t="s">
        <v>4178</v>
      </c>
      <c r="M2008" s="2" t="s">
        <v>82</v>
      </c>
      <c r="N2008" s="2" t="s">
        <v>9139</v>
      </c>
      <c r="O2008" s="2">
        <v>20</v>
      </c>
      <c r="P2008" s="2">
        <v>15</v>
      </c>
      <c r="Q2008" s="2" t="s">
        <v>352</v>
      </c>
      <c r="R2008" s="2" t="s">
        <v>47</v>
      </c>
      <c r="S2008" s="2">
        <v>0</v>
      </c>
      <c r="T2008" s="2">
        <v>0</v>
      </c>
      <c r="U2008" s="2">
        <v>0</v>
      </c>
      <c r="V2008" s="2">
        <v>0</v>
      </c>
      <c r="W2008" s="2">
        <v>1</v>
      </c>
      <c r="X2008" s="2" t="s">
        <v>1186</v>
      </c>
      <c r="Y2008" s="2">
        <v>0</v>
      </c>
      <c r="Z2008" s="2">
        <v>1</v>
      </c>
      <c r="AA2008" s="2">
        <v>1</v>
      </c>
      <c r="AB2008" s="2">
        <v>1</v>
      </c>
      <c r="AC2008" s="2">
        <v>6</v>
      </c>
      <c r="AD2008" s="2">
        <v>5</v>
      </c>
      <c r="AE2008" s="2" t="s">
        <v>0</v>
      </c>
      <c r="AF2008" s="2">
        <v>1</v>
      </c>
      <c r="AG2008" s="2" t="s">
        <v>2231</v>
      </c>
    </row>
    <row r="2009" spans="1:33" ht="63.75" x14ac:dyDescent="0.2">
      <c r="A2009" s="5" t="str">
        <f>HYPERLINK("http://www.patentics.cn/invokexml.do?sf=ShowPatent&amp;spn=US9408214&amp;sv=563de16540ab925da9dd5cfa8b1eb19c","US9408214")</f>
        <v>US9408214</v>
      </c>
      <c r="B2009" s="3" t="s">
        <v>9140</v>
      </c>
      <c r="C2009" s="3" t="s">
        <v>9141</v>
      </c>
      <c r="D2009" s="3" t="s">
        <v>52</v>
      </c>
      <c r="E2009" s="3" t="s">
        <v>52</v>
      </c>
      <c r="F2009" s="3" t="s">
        <v>9142</v>
      </c>
      <c r="G2009" s="3" t="s">
        <v>2392</v>
      </c>
      <c r="H2009" s="3" t="s">
        <v>6639</v>
      </c>
      <c r="I2009" s="3" t="s">
        <v>9143</v>
      </c>
      <c r="J2009" s="3" t="s">
        <v>322</v>
      </c>
      <c r="K2009" s="3" t="s">
        <v>82</v>
      </c>
      <c r="L2009" s="3" t="s">
        <v>83</v>
      </c>
      <c r="M2009" s="3" t="s">
        <v>82</v>
      </c>
      <c r="N2009" s="3" t="s">
        <v>3257</v>
      </c>
      <c r="O2009" s="3">
        <v>0</v>
      </c>
      <c r="P2009" s="3">
        <v>16</v>
      </c>
      <c r="Q2009" s="3" t="s">
        <v>60</v>
      </c>
      <c r="R2009" s="3" t="s">
        <v>61</v>
      </c>
      <c r="S2009" s="3">
        <v>16</v>
      </c>
      <c r="T2009" s="3">
        <v>1</v>
      </c>
      <c r="U2009" s="3">
        <v>15</v>
      </c>
      <c r="V2009" s="3">
        <v>6</v>
      </c>
      <c r="W2009" s="3">
        <v>0</v>
      </c>
      <c r="X2009" s="3" t="s">
        <v>147</v>
      </c>
      <c r="Y2009" s="3">
        <v>0</v>
      </c>
      <c r="Z2009" s="3">
        <v>0</v>
      </c>
      <c r="AA2009" s="3">
        <v>0</v>
      </c>
      <c r="AB2009" s="3">
        <v>0</v>
      </c>
      <c r="AC2009" s="3">
        <v>2</v>
      </c>
      <c r="AD2009" s="3">
        <v>2</v>
      </c>
      <c r="AE2009" s="3">
        <v>14</v>
      </c>
      <c r="AF2009" s="3" t="s">
        <v>0</v>
      </c>
      <c r="AG2009" s="3" t="s">
        <v>49</v>
      </c>
    </row>
    <row r="2010" spans="1:33" ht="51" x14ac:dyDescent="0.2">
      <c r="A2010" s="4" t="str">
        <f>HYPERLINK("http://www.patentics.cn/invokexml.do?sf=ShowPatent&amp;spn=US20130136070&amp;sv=83c3abbe3403c42dbd6341c0ebc35855","US20130136070")</f>
        <v>US20130136070</v>
      </c>
      <c r="B2010" s="2" t="s">
        <v>9144</v>
      </c>
      <c r="C2010" s="2" t="s">
        <v>9145</v>
      </c>
      <c r="D2010" s="2" t="s">
        <v>346</v>
      </c>
      <c r="E2010" s="2" t="s">
        <v>346</v>
      </c>
      <c r="F2010" s="2" t="s">
        <v>9146</v>
      </c>
      <c r="G2010" s="2" t="s">
        <v>9147</v>
      </c>
      <c r="H2010" s="2" t="s">
        <v>902</v>
      </c>
      <c r="I2010" s="2" t="s">
        <v>2925</v>
      </c>
      <c r="J2010" s="2" t="s">
        <v>9148</v>
      </c>
      <c r="K2010" s="2" t="s">
        <v>82</v>
      </c>
      <c r="L2010" s="2" t="s">
        <v>244</v>
      </c>
      <c r="M2010" s="2" t="s">
        <v>82</v>
      </c>
      <c r="N2010" s="2" t="s">
        <v>841</v>
      </c>
      <c r="O2010" s="2">
        <v>20</v>
      </c>
      <c r="P2010" s="2">
        <v>18</v>
      </c>
      <c r="Q2010" s="2" t="s">
        <v>352</v>
      </c>
      <c r="R2010" s="2" t="s">
        <v>47</v>
      </c>
      <c r="S2010" s="2">
        <v>0</v>
      </c>
      <c r="T2010" s="2">
        <v>0</v>
      </c>
      <c r="U2010" s="2">
        <v>0</v>
      </c>
      <c r="V2010" s="2">
        <v>0</v>
      </c>
      <c r="W2010" s="2">
        <v>1</v>
      </c>
      <c r="X2010" s="2" t="s">
        <v>1186</v>
      </c>
      <c r="Y2010" s="2">
        <v>0</v>
      </c>
      <c r="Z2010" s="2">
        <v>1</v>
      </c>
      <c r="AA2010" s="2">
        <v>1</v>
      </c>
      <c r="AB2010" s="2">
        <v>1</v>
      </c>
      <c r="AC2010" s="2">
        <v>8</v>
      </c>
      <c r="AD2010" s="2">
        <v>6</v>
      </c>
      <c r="AE2010" s="2" t="s">
        <v>0</v>
      </c>
      <c r="AF2010" s="2">
        <v>1</v>
      </c>
      <c r="AG2010" s="2" t="s">
        <v>49</v>
      </c>
    </row>
    <row r="2011" spans="1:33" ht="191.25" x14ac:dyDescent="0.2">
      <c r="A2011" s="5" t="str">
        <f>HYPERLINK("http://www.patentics.cn/invokexml.do?sf=ShowPatent&amp;spn=US9084280&amp;sv=4d9438d6e9dd5b90e8fe3f90370b6bfa","US9084280")</f>
        <v>US9084280</v>
      </c>
      <c r="B2011" s="3" t="s">
        <v>9149</v>
      </c>
      <c r="C2011" s="3" t="s">
        <v>9150</v>
      </c>
      <c r="D2011" s="3" t="s">
        <v>52</v>
      </c>
      <c r="E2011" s="3" t="s">
        <v>52</v>
      </c>
      <c r="F2011" s="3" t="s">
        <v>9151</v>
      </c>
      <c r="G2011" s="3" t="s">
        <v>9152</v>
      </c>
      <c r="H2011" s="3" t="s">
        <v>9153</v>
      </c>
      <c r="I2011" s="3" t="s">
        <v>9154</v>
      </c>
      <c r="J2011" s="3" t="s">
        <v>2926</v>
      </c>
      <c r="K2011" s="3" t="s">
        <v>82</v>
      </c>
      <c r="L2011" s="3" t="s">
        <v>2908</v>
      </c>
      <c r="M2011" s="3" t="s">
        <v>0</v>
      </c>
      <c r="N2011" s="3" t="s">
        <v>0</v>
      </c>
      <c r="O2011" s="3">
        <v>0</v>
      </c>
      <c r="P2011" s="3">
        <v>13</v>
      </c>
      <c r="Q2011" s="3" t="s">
        <v>60</v>
      </c>
      <c r="R2011" s="3" t="s">
        <v>61</v>
      </c>
      <c r="S2011" s="3">
        <v>14</v>
      </c>
      <c r="T2011" s="3">
        <v>2</v>
      </c>
      <c r="U2011" s="3">
        <v>12</v>
      </c>
      <c r="V2011" s="3">
        <v>6</v>
      </c>
      <c r="W2011" s="3">
        <v>1</v>
      </c>
      <c r="X2011" s="3" t="s">
        <v>1232</v>
      </c>
      <c r="Y2011" s="3">
        <v>0</v>
      </c>
      <c r="Z2011" s="3">
        <v>1</v>
      </c>
      <c r="AA2011" s="3">
        <v>1</v>
      </c>
      <c r="AB2011" s="3">
        <v>1</v>
      </c>
      <c r="AC2011" s="3">
        <v>4</v>
      </c>
      <c r="AD2011" s="3">
        <v>3</v>
      </c>
      <c r="AE2011" s="3">
        <v>14</v>
      </c>
      <c r="AF2011" s="3" t="s">
        <v>0</v>
      </c>
      <c r="AG2011" s="3" t="s">
        <v>49</v>
      </c>
    </row>
    <row r="2012" spans="1:33" ht="51" x14ac:dyDescent="0.2">
      <c r="A2012" s="4" t="str">
        <f>HYPERLINK("http://www.patentics.cn/invokexml.do?sf=ShowPatent&amp;spn=US20130121345&amp;sv=2294919fe8d2ecfb274db7c821f8ada9","US20130121345")</f>
        <v>US20130121345</v>
      </c>
      <c r="B2012" s="2" t="s">
        <v>9155</v>
      </c>
      <c r="C2012" s="2" t="s">
        <v>9156</v>
      </c>
      <c r="D2012" s="2" t="s">
        <v>346</v>
      </c>
      <c r="E2012" s="2" t="s">
        <v>346</v>
      </c>
      <c r="F2012" s="2" t="s">
        <v>9157</v>
      </c>
      <c r="G2012" s="2" t="s">
        <v>1196</v>
      </c>
      <c r="H2012" s="2" t="s">
        <v>1955</v>
      </c>
      <c r="I2012" s="2" t="s">
        <v>9158</v>
      </c>
      <c r="J2012" s="2" t="s">
        <v>6411</v>
      </c>
      <c r="K2012" s="2" t="s">
        <v>82</v>
      </c>
      <c r="L2012" s="2" t="s">
        <v>1177</v>
      </c>
      <c r="M2012" s="2" t="s">
        <v>82</v>
      </c>
      <c r="N2012" s="2" t="s">
        <v>7100</v>
      </c>
      <c r="O2012" s="2">
        <v>8</v>
      </c>
      <c r="P2012" s="2">
        <v>7</v>
      </c>
      <c r="Q2012" s="2" t="s">
        <v>352</v>
      </c>
      <c r="R2012" s="2" t="s">
        <v>47</v>
      </c>
      <c r="S2012" s="2">
        <v>0</v>
      </c>
      <c r="T2012" s="2">
        <v>0</v>
      </c>
      <c r="U2012" s="2">
        <v>0</v>
      </c>
      <c r="V2012" s="2">
        <v>0</v>
      </c>
      <c r="W2012" s="2">
        <v>1</v>
      </c>
      <c r="X2012" s="2" t="s">
        <v>1186</v>
      </c>
      <c r="Y2012" s="2">
        <v>0</v>
      </c>
      <c r="Z2012" s="2">
        <v>1</v>
      </c>
      <c r="AA2012" s="2">
        <v>1</v>
      </c>
      <c r="AB2012" s="2">
        <v>1</v>
      </c>
      <c r="AC2012" s="2">
        <v>6</v>
      </c>
      <c r="AD2012" s="2">
        <v>4</v>
      </c>
      <c r="AE2012" s="2" t="s">
        <v>0</v>
      </c>
      <c r="AF2012" s="2">
        <v>1</v>
      </c>
      <c r="AG2012" s="2" t="s">
        <v>49</v>
      </c>
    </row>
    <row r="2013" spans="1:33" ht="114.75" x14ac:dyDescent="0.2">
      <c r="A2013" s="5" t="str">
        <f>HYPERLINK("http://www.patentics.cn/invokexml.do?sf=ShowPatent&amp;spn=US9282171&amp;sv=7e65ae85f89b0eef64302ef7a4173537","US9282171")</f>
        <v>US9282171</v>
      </c>
      <c r="B2013" s="3" t="s">
        <v>9159</v>
      </c>
      <c r="C2013" s="3" t="s">
        <v>9160</v>
      </c>
      <c r="D2013" s="3" t="s">
        <v>52</v>
      </c>
      <c r="E2013" s="3" t="s">
        <v>52</v>
      </c>
      <c r="F2013" s="3" t="s">
        <v>9161</v>
      </c>
      <c r="G2013" s="3" t="s">
        <v>9162</v>
      </c>
      <c r="H2013" s="3" t="s">
        <v>9163</v>
      </c>
      <c r="I2013" s="3" t="s">
        <v>9163</v>
      </c>
      <c r="J2013" s="3" t="s">
        <v>683</v>
      </c>
      <c r="K2013" s="3" t="s">
        <v>58</v>
      </c>
      <c r="L2013" s="3" t="s">
        <v>722</v>
      </c>
      <c r="M2013" s="3" t="s">
        <v>58</v>
      </c>
      <c r="N2013" s="3" t="s">
        <v>9164</v>
      </c>
      <c r="O2013" s="3">
        <v>0</v>
      </c>
      <c r="P2013" s="3">
        <v>15</v>
      </c>
      <c r="Q2013" s="3" t="s">
        <v>60</v>
      </c>
      <c r="R2013" s="3" t="s">
        <v>61</v>
      </c>
      <c r="S2013" s="3">
        <v>16</v>
      </c>
      <c r="T2013" s="3">
        <v>1</v>
      </c>
      <c r="U2013" s="3">
        <v>15</v>
      </c>
      <c r="V2013" s="3">
        <v>11</v>
      </c>
      <c r="W2013" s="3">
        <v>0</v>
      </c>
      <c r="X2013" s="3" t="s">
        <v>147</v>
      </c>
      <c r="Y2013" s="3">
        <v>0</v>
      </c>
      <c r="Z2013" s="3">
        <v>0</v>
      </c>
      <c r="AA2013" s="3">
        <v>0</v>
      </c>
      <c r="AB2013" s="3">
        <v>0</v>
      </c>
      <c r="AC2013" s="3">
        <v>2</v>
      </c>
      <c r="AD2013" s="3">
        <v>2</v>
      </c>
      <c r="AE2013" s="3">
        <v>14</v>
      </c>
      <c r="AF2013" s="3" t="s">
        <v>0</v>
      </c>
      <c r="AG2013" s="3" t="s">
        <v>49</v>
      </c>
    </row>
    <row r="2014" spans="1:33" ht="63.75" x14ac:dyDescent="0.2">
      <c r="A2014" s="4" t="str">
        <f>HYPERLINK("http://www.patentics.cn/invokexml.do?sf=ShowPatent&amp;spn=US20130107797&amp;sv=c820dec6753778a27443b1a93491bdb5","US20130107797")</f>
        <v>US20130107797</v>
      </c>
      <c r="B2014" s="2" t="s">
        <v>9165</v>
      </c>
      <c r="C2014" s="2" t="s">
        <v>9166</v>
      </c>
      <c r="D2014" s="2" t="s">
        <v>346</v>
      </c>
      <c r="E2014" s="2" t="s">
        <v>346</v>
      </c>
      <c r="F2014" s="2" t="s">
        <v>9167</v>
      </c>
      <c r="G2014" s="2" t="s">
        <v>9168</v>
      </c>
      <c r="H2014" s="2" t="s">
        <v>1920</v>
      </c>
      <c r="I2014" s="2" t="s">
        <v>3677</v>
      </c>
      <c r="J2014" s="2" t="s">
        <v>1428</v>
      </c>
      <c r="K2014" s="2" t="s">
        <v>82</v>
      </c>
      <c r="L2014" s="2" t="s">
        <v>244</v>
      </c>
      <c r="M2014" s="2" t="s">
        <v>82</v>
      </c>
      <c r="N2014" s="2" t="s">
        <v>9169</v>
      </c>
      <c r="O2014" s="2">
        <v>32</v>
      </c>
      <c r="P2014" s="2">
        <v>24</v>
      </c>
      <c r="Q2014" s="2" t="s">
        <v>352</v>
      </c>
      <c r="R2014" s="2" t="s">
        <v>61</v>
      </c>
      <c r="S2014" s="2">
        <v>1</v>
      </c>
      <c r="T2014" s="2">
        <v>1</v>
      </c>
      <c r="U2014" s="2">
        <v>0</v>
      </c>
      <c r="V2014" s="2">
        <v>1</v>
      </c>
      <c r="W2014" s="2">
        <v>5</v>
      </c>
      <c r="X2014" s="2" t="s">
        <v>1581</v>
      </c>
      <c r="Y2014" s="2">
        <v>1</v>
      </c>
      <c r="Z2014" s="2">
        <v>4</v>
      </c>
      <c r="AA2014" s="2">
        <v>5</v>
      </c>
      <c r="AB2014" s="2">
        <v>1</v>
      </c>
      <c r="AC2014" s="2">
        <v>10</v>
      </c>
      <c r="AD2014" s="2">
        <v>5</v>
      </c>
      <c r="AE2014" s="2" t="s">
        <v>0</v>
      </c>
      <c r="AF2014" s="2">
        <v>1</v>
      </c>
      <c r="AG2014" s="2" t="s">
        <v>49</v>
      </c>
    </row>
    <row r="2015" spans="1:33" ht="89.25" x14ac:dyDescent="0.2">
      <c r="A2015" s="5" t="str">
        <f>HYPERLINK("http://www.patentics.cn/invokexml.do?sf=ShowPatent&amp;spn=US9294235&amp;sv=dbd8854ffec6229613d813890ec1c3a7","US9294235")</f>
        <v>US9294235</v>
      </c>
      <c r="B2015" s="3" t="s">
        <v>9170</v>
      </c>
      <c r="C2015" s="3" t="s">
        <v>9171</v>
      </c>
      <c r="D2015" s="3" t="s">
        <v>52</v>
      </c>
      <c r="E2015" s="3" t="s">
        <v>52</v>
      </c>
      <c r="F2015" s="3" t="s">
        <v>9172</v>
      </c>
      <c r="G2015" s="3" t="s">
        <v>1113</v>
      </c>
      <c r="H2015" s="3" t="s">
        <v>6699</v>
      </c>
      <c r="I2015" s="3" t="s">
        <v>694</v>
      </c>
      <c r="J2015" s="3" t="s">
        <v>696</v>
      </c>
      <c r="K2015" s="3" t="s">
        <v>82</v>
      </c>
      <c r="L2015" s="3" t="s">
        <v>83</v>
      </c>
      <c r="M2015" s="3" t="s">
        <v>58</v>
      </c>
      <c r="N2015" s="3" t="s">
        <v>9173</v>
      </c>
      <c r="O2015" s="3">
        <v>0</v>
      </c>
      <c r="P2015" s="3">
        <v>17</v>
      </c>
      <c r="Q2015" s="3" t="s">
        <v>60</v>
      </c>
      <c r="R2015" s="3" t="s">
        <v>61</v>
      </c>
      <c r="S2015" s="3">
        <v>26</v>
      </c>
      <c r="T2015" s="3">
        <v>3</v>
      </c>
      <c r="U2015" s="3">
        <v>23</v>
      </c>
      <c r="V2015" s="3">
        <v>15</v>
      </c>
      <c r="W2015" s="3">
        <v>6</v>
      </c>
      <c r="X2015" s="3" t="s">
        <v>147</v>
      </c>
      <c r="Y2015" s="3">
        <v>0</v>
      </c>
      <c r="Z2015" s="3">
        <v>6</v>
      </c>
      <c r="AA2015" s="3">
        <v>0</v>
      </c>
      <c r="AB2015" s="3">
        <v>1</v>
      </c>
      <c r="AC2015" s="3">
        <v>9</v>
      </c>
      <c r="AD2015" s="3">
        <v>8</v>
      </c>
      <c r="AE2015" s="3">
        <v>14</v>
      </c>
      <c r="AF2015" s="3" t="s">
        <v>0</v>
      </c>
      <c r="AG2015" s="3" t="s">
        <v>49</v>
      </c>
    </row>
    <row r="2016" spans="1:33" ht="63.75" x14ac:dyDescent="0.2">
      <c r="A2016" s="4" t="str">
        <f>HYPERLINK("http://www.patentics.cn/invokexml.do?sf=ShowPatent&amp;spn=US20130094464&amp;sv=ee3a5777151345c186c67346f2e324ba","US20130094464")</f>
        <v>US20130094464</v>
      </c>
      <c r="B2016" s="2" t="s">
        <v>9174</v>
      </c>
      <c r="C2016" s="2" t="s">
        <v>9175</v>
      </c>
      <c r="D2016" s="2" t="s">
        <v>346</v>
      </c>
      <c r="E2016" s="2" t="s">
        <v>346</v>
      </c>
      <c r="F2016" s="2" t="s">
        <v>9176</v>
      </c>
      <c r="G2016" s="2" t="s">
        <v>9177</v>
      </c>
      <c r="H2016" s="2" t="s">
        <v>6719</v>
      </c>
      <c r="I2016" s="2" t="s">
        <v>6720</v>
      </c>
      <c r="J2016" s="2" t="s">
        <v>3837</v>
      </c>
      <c r="K2016" s="2" t="s">
        <v>82</v>
      </c>
      <c r="L2016" s="2" t="s">
        <v>244</v>
      </c>
      <c r="M2016" s="2" t="s">
        <v>82</v>
      </c>
      <c r="N2016" s="2" t="s">
        <v>841</v>
      </c>
      <c r="O2016" s="2">
        <v>20</v>
      </c>
      <c r="P2016" s="2">
        <v>10</v>
      </c>
      <c r="Q2016" s="2" t="s">
        <v>352</v>
      </c>
      <c r="R2016" s="2" t="s">
        <v>47</v>
      </c>
      <c r="S2016" s="2">
        <v>0</v>
      </c>
      <c r="T2016" s="2">
        <v>0</v>
      </c>
      <c r="U2016" s="2">
        <v>0</v>
      </c>
      <c r="V2016" s="2">
        <v>0</v>
      </c>
      <c r="W2016" s="2">
        <v>12</v>
      </c>
      <c r="X2016" s="2" t="s">
        <v>7482</v>
      </c>
      <c r="Y2016" s="2">
        <v>0</v>
      </c>
      <c r="Z2016" s="2">
        <v>12</v>
      </c>
      <c r="AA2016" s="2">
        <v>3</v>
      </c>
      <c r="AB2016" s="2">
        <v>3</v>
      </c>
      <c r="AC2016" s="2">
        <v>11</v>
      </c>
      <c r="AD2016" s="2">
        <v>8</v>
      </c>
      <c r="AE2016" s="2" t="s">
        <v>0</v>
      </c>
      <c r="AF2016" s="2">
        <v>1</v>
      </c>
      <c r="AG2016" s="2" t="s">
        <v>49</v>
      </c>
    </row>
    <row r="2017" spans="1:33" ht="63.75" x14ac:dyDescent="0.2">
      <c r="A2017" s="5" t="str">
        <f>HYPERLINK("http://www.patentics.cn/invokexml.do?sf=ShowPatent&amp;spn=US9571173&amp;sv=4259c9a713a4ed85479114e8755cf52c","US9571173")</f>
        <v>US9571173</v>
      </c>
      <c r="B2017" s="3" t="s">
        <v>6721</v>
      </c>
      <c r="C2017" s="3" t="s">
        <v>6722</v>
      </c>
      <c r="D2017" s="3" t="s">
        <v>52</v>
      </c>
      <c r="E2017" s="3" t="s">
        <v>52</v>
      </c>
      <c r="F2017" s="3" t="s">
        <v>6723</v>
      </c>
      <c r="G2017" s="3" t="s">
        <v>2822</v>
      </c>
      <c r="H2017" s="3" t="s">
        <v>3181</v>
      </c>
      <c r="I2017" s="3" t="s">
        <v>5231</v>
      </c>
      <c r="J2017" s="3" t="s">
        <v>866</v>
      </c>
      <c r="K2017" s="3" t="s">
        <v>84</v>
      </c>
      <c r="L2017" s="3" t="s">
        <v>135</v>
      </c>
      <c r="M2017" s="3" t="s">
        <v>84</v>
      </c>
      <c r="N2017" s="3" t="s">
        <v>136</v>
      </c>
      <c r="O2017" s="3">
        <v>0</v>
      </c>
      <c r="P2017" s="3">
        <v>12</v>
      </c>
      <c r="Q2017" s="3" t="s">
        <v>60</v>
      </c>
      <c r="R2017" s="3" t="s">
        <v>61</v>
      </c>
      <c r="S2017" s="3">
        <v>18</v>
      </c>
      <c r="T2017" s="3">
        <v>0</v>
      </c>
      <c r="U2017" s="3">
        <v>18</v>
      </c>
      <c r="V2017" s="3">
        <v>13</v>
      </c>
      <c r="W2017" s="3">
        <v>0</v>
      </c>
      <c r="X2017" s="3" t="s">
        <v>147</v>
      </c>
      <c r="Y2017" s="3">
        <v>0</v>
      </c>
      <c r="Z2017" s="3">
        <v>0</v>
      </c>
      <c r="AA2017" s="3">
        <v>0</v>
      </c>
      <c r="AB2017" s="3">
        <v>0</v>
      </c>
      <c r="AC2017" s="3">
        <v>11</v>
      </c>
      <c r="AD2017" s="3">
        <v>7</v>
      </c>
      <c r="AE2017" s="3">
        <v>14</v>
      </c>
      <c r="AF2017" s="3" t="s">
        <v>0</v>
      </c>
      <c r="AG2017" s="3" t="s">
        <v>49</v>
      </c>
    </row>
    <row r="2018" spans="1:33" ht="38.25" x14ac:dyDescent="0.2">
      <c r="A2018" s="4" t="str">
        <f>HYPERLINK("http://www.patentics.cn/invokexml.do?sf=ShowPatent&amp;spn=US20130094411&amp;sv=502134a9f1d70efb33773631bb581a44","US20130094411")</f>
        <v>US20130094411</v>
      </c>
      <c r="B2018" s="2" t="s">
        <v>9178</v>
      </c>
      <c r="C2018" s="2" t="s">
        <v>9179</v>
      </c>
      <c r="D2018" s="2" t="s">
        <v>346</v>
      </c>
      <c r="E2018" s="2" t="s">
        <v>346</v>
      </c>
      <c r="F2018" s="2" t="s">
        <v>3297</v>
      </c>
      <c r="G2018" s="2" t="s">
        <v>3297</v>
      </c>
      <c r="H2018" s="2" t="s">
        <v>2137</v>
      </c>
      <c r="I2018" s="2" t="s">
        <v>4558</v>
      </c>
      <c r="J2018" s="2" t="s">
        <v>3837</v>
      </c>
      <c r="K2018" s="2" t="s">
        <v>82</v>
      </c>
      <c r="L2018" s="2" t="s">
        <v>244</v>
      </c>
      <c r="M2018" s="2" t="s">
        <v>82</v>
      </c>
      <c r="N2018" s="2" t="s">
        <v>9169</v>
      </c>
      <c r="O2018" s="2">
        <v>31</v>
      </c>
      <c r="P2018" s="2">
        <v>16</v>
      </c>
      <c r="Q2018" s="2" t="s">
        <v>352</v>
      </c>
      <c r="R2018" s="2" t="s">
        <v>61</v>
      </c>
      <c r="S2018" s="2">
        <v>0</v>
      </c>
      <c r="T2018" s="2">
        <v>0</v>
      </c>
      <c r="U2018" s="2">
        <v>0</v>
      </c>
      <c r="V2018" s="2">
        <v>0</v>
      </c>
      <c r="W2018" s="2">
        <v>15</v>
      </c>
      <c r="X2018" s="2" t="s">
        <v>7790</v>
      </c>
      <c r="Y2018" s="2">
        <v>2</v>
      </c>
      <c r="Z2018" s="2">
        <v>13</v>
      </c>
      <c r="AA2018" s="2">
        <v>7</v>
      </c>
      <c r="AB2018" s="2">
        <v>3</v>
      </c>
      <c r="AC2018" s="2">
        <v>8</v>
      </c>
      <c r="AD2018" s="2">
        <v>8</v>
      </c>
      <c r="AE2018" s="2" t="s">
        <v>0</v>
      </c>
      <c r="AF2018" s="2">
        <v>1</v>
      </c>
      <c r="AG2018" s="2" t="s">
        <v>2231</v>
      </c>
    </row>
    <row r="2019" spans="1:33" ht="63.75" x14ac:dyDescent="0.2">
      <c r="A2019" s="5" t="str">
        <f>HYPERLINK("http://www.patentics.cn/invokexml.do?sf=ShowPatent&amp;spn=US8964663&amp;sv=d441bb74a30a2769cd41c117fcc4bef1","US8964663")</f>
        <v>US8964663</v>
      </c>
      <c r="B2019" s="3" t="s">
        <v>6157</v>
      </c>
      <c r="C2019" s="3" t="s">
        <v>6158</v>
      </c>
      <c r="D2019" s="3" t="s">
        <v>52</v>
      </c>
      <c r="E2019" s="3" t="s">
        <v>52</v>
      </c>
      <c r="F2019" s="3" t="s">
        <v>3737</v>
      </c>
      <c r="G2019" s="3" t="s">
        <v>2871</v>
      </c>
      <c r="H2019" s="3" t="s">
        <v>604</v>
      </c>
      <c r="I2019" s="3" t="s">
        <v>6159</v>
      </c>
      <c r="J2019" s="3" t="s">
        <v>805</v>
      </c>
      <c r="K2019" s="3" t="s">
        <v>70</v>
      </c>
      <c r="L2019" s="3" t="s">
        <v>6160</v>
      </c>
      <c r="M2019" s="3" t="s">
        <v>82</v>
      </c>
      <c r="N2019" s="3" t="s">
        <v>1454</v>
      </c>
      <c r="O2019" s="3">
        <v>0</v>
      </c>
      <c r="P2019" s="3">
        <v>19</v>
      </c>
      <c r="Q2019" s="3" t="s">
        <v>60</v>
      </c>
      <c r="R2019" s="3" t="s">
        <v>61</v>
      </c>
      <c r="S2019" s="3">
        <v>32</v>
      </c>
      <c r="T2019" s="3">
        <v>1</v>
      </c>
      <c r="U2019" s="3">
        <v>31</v>
      </c>
      <c r="V2019" s="3">
        <v>17</v>
      </c>
      <c r="W2019" s="3">
        <v>1</v>
      </c>
      <c r="X2019" s="3" t="s">
        <v>1186</v>
      </c>
      <c r="Y2019" s="3">
        <v>0</v>
      </c>
      <c r="Z2019" s="3">
        <v>1</v>
      </c>
      <c r="AA2019" s="3">
        <v>1</v>
      </c>
      <c r="AB2019" s="3">
        <v>1</v>
      </c>
      <c r="AC2019" s="3">
        <v>7</v>
      </c>
      <c r="AD2019" s="3">
        <v>6</v>
      </c>
      <c r="AE2019" s="3">
        <v>14</v>
      </c>
      <c r="AF2019" s="3" t="s">
        <v>0</v>
      </c>
      <c r="AG2019" s="3" t="s">
        <v>49</v>
      </c>
    </row>
    <row r="2020" spans="1:33" ht="51" x14ac:dyDescent="0.2">
      <c r="A2020" s="4" t="str">
        <f>HYPERLINK("http://www.patentics.cn/invokexml.do?sf=ShowPatent&amp;spn=US20130072236&amp;sv=d2279634dc6c7755884a2b58a1e86183","US20130072236")</f>
        <v>US20130072236</v>
      </c>
      <c r="B2020" s="2" t="s">
        <v>9180</v>
      </c>
      <c r="C2020" s="2" t="s">
        <v>9181</v>
      </c>
      <c r="D2020" s="2" t="s">
        <v>346</v>
      </c>
      <c r="E2020" s="2" t="s">
        <v>346</v>
      </c>
      <c r="F2020" s="2" t="s">
        <v>1440</v>
      </c>
      <c r="G2020" s="2" t="s">
        <v>1006</v>
      </c>
      <c r="H2020" s="2" t="s">
        <v>1441</v>
      </c>
      <c r="I2020" s="2" t="s">
        <v>324</v>
      </c>
      <c r="J2020" s="2" t="s">
        <v>9182</v>
      </c>
      <c r="K2020" s="2" t="s">
        <v>82</v>
      </c>
      <c r="L2020" s="2" t="s">
        <v>827</v>
      </c>
      <c r="M2020" s="2" t="s">
        <v>0</v>
      </c>
      <c r="N2020" s="2" t="s">
        <v>0</v>
      </c>
      <c r="O2020" s="2">
        <v>40</v>
      </c>
      <c r="P2020" s="2">
        <v>4</v>
      </c>
      <c r="Q2020" s="2" t="s">
        <v>352</v>
      </c>
      <c r="R2020" s="2" t="s">
        <v>61</v>
      </c>
      <c r="S2020" s="2">
        <v>1</v>
      </c>
      <c r="T2020" s="2">
        <v>1</v>
      </c>
      <c r="U2020" s="2">
        <v>0</v>
      </c>
      <c r="V2020" s="2">
        <v>1</v>
      </c>
      <c r="W2020" s="2">
        <v>1</v>
      </c>
      <c r="X2020" s="2" t="s">
        <v>1186</v>
      </c>
      <c r="Y2020" s="2">
        <v>0</v>
      </c>
      <c r="Z2020" s="2">
        <v>1</v>
      </c>
      <c r="AA2020" s="2">
        <v>1</v>
      </c>
      <c r="AB2020" s="2">
        <v>1</v>
      </c>
      <c r="AC2020" s="2">
        <v>5</v>
      </c>
      <c r="AD2020" s="2">
        <v>2</v>
      </c>
      <c r="AE2020" s="2" t="s">
        <v>0</v>
      </c>
      <c r="AF2020" s="2">
        <v>1</v>
      </c>
      <c r="AG2020" s="2" t="s">
        <v>49</v>
      </c>
    </row>
    <row r="2021" spans="1:33" ht="114.75" x14ac:dyDescent="0.2">
      <c r="A2021" s="5" t="str">
        <f>HYPERLINK("http://www.patentics.cn/invokexml.do?sf=ShowPatent&amp;spn=US9307394&amp;sv=8348ad44d8fc8420e394e34edbdce803","US9307394")</f>
        <v>US9307394</v>
      </c>
      <c r="B2021" s="3" t="s">
        <v>9183</v>
      </c>
      <c r="C2021" s="3" t="s">
        <v>9184</v>
      </c>
      <c r="D2021" s="3" t="s">
        <v>52</v>
      </c>
      <c r="E2021" s="3" t="s">
        <v>52</v>
      </c>
      <c r="F2021" s="3" t="s">
        <v>9185</v>
      </c>
      <c r="G2021" s="3" t="s">
        <v>9186</v>
      </c>
      <c r="H2021" s="3" t="s">
        <v>4551</v>
      </c>
      <c r="I2021" s="3" t="s">
        <v>4551</v>
      </c>
      <c r="J2021" s="3" t="s">
        <v>317</v>
      </c>
      <c r="K2021" s="3" t="s">
        <v>82</v>
      </c>
      <c r="L2021" s="3" t="s">
        <v>2071</v>
      </c>
      <c r="M2021" s="3" t="s">
        <v>82</v>
      </c>
      <c r="N2021" s="3" t="s">
        <v>9187</v>
      </c>
      <c r="O2021" s="3">
        <v>0</v>
      </c>
      <c r="P2021" s="3">
        <v>13</v>
      </c>
      <c r="Q2021" s="3" t="s">
        <v>60</v>
      </c>
      <c r="R2021" s="3" t="s">
        <v>61</v>
      </c>
      <c r="S2021" s="3">
        <v>14</v>
      </c>
      <c r="T2021" s="3">
        <v>5</v>
      </c>
      <c r="U2021" s="3">
        <v>9</v>
      </c>
      <c r="V2021" s="3">
        <v>8</v>
      </c>
      <c r="W2021" s="3">
        <v>0</v>
      </c>
      <c r="X2021" s="3" t="s">
        <v>147</v>
      </c>
      <c r="Y2021" s="3">
        <v>0</v>
      </c>
      <c r="Z2021" s="3">
        <v>0</v>
      </c>
      <c r="AA2021" s="3">
        <v>0</v>
      </c>
      <c r="AB2021" s="3">
        <v>0</v>
      </c>
      <c r="AC2021" s="3">
        <v>2</v>
      </c>
      <c r="AD2021" s="3">
        <v>2</v>
      </c>
      <c r="AE2021" s="3">
        <v>14</v>
      </c>
      <c r="AF2021" s="3" t="s">
        <v>0</v>
      </c>
      <c r="AG2021" s="3" t="s">
        <v>49</v>
      </c>
    </row>
    <row r="2022" spans="1:33" ht="63.75" x14ac:dyDescent="0.2">
      <c r="A2022" s="4" t="str">
        <f>HYPERLINK("http://www.patentics.cn/invokexml.do?sf=ShowPatent&amp;spn=US20130053052&amp;sv=093f4a0f04b844b9bc0c3abf3c5add9a","US20130053052")</f>
        <v>US20130053052</v>
      </c>
      <c r="B2022" s="2" t="s">
        <v>9188</v>
      </c>
      <c r="C2022" s="2" t="s">
        <v>9189</v>
      </c>
      <c r="D2022" s="2" t="s">
        <v>346</v>
      </c>
      <c r="E2022" s="2" t="s">
        <v>346</v>
      </c>
      <c r="F2022" s="2" t="s">
        <v>9190</v>
      </c>
      <c r="G2022" s="2" t="s">
        <v>9191</v>
      </c>
      <c r="H2022" s="2" t="s">
        <v>3617</v>
      </c>
      <c r="I2022" s="2" t="s">
        <v>2247</v>
      </c>
      <c r="J2022" s="2" t="s">
        <v>4480</v>
      </c>
      <c r="K2022" s="2" t="s">
        <v>82</v>
      </c>
      <c r="L2022" s="2" t="s">
        <v>244</v>
      </c>
      <c r="M2022" s="2" t="s">
        <v>0</v>
      </c>
      <c r="N2022" s="2" t="s">
        <v>0</v>
      </c>
      <c r="O2022" s="2">
        <v>11</v>
      </c>
      <c r="P2022" s="2">
        <v>4</v>
      </c>
      <c r="Q2022" s="2" t="s">
        <v>352</v>
      </c>
      <c r="R2022" s="2" t="s">
        <v>47</v>
      </c>
      <c r="S2022" s="2">
        <v>0</v>
      </c>
      <c r="T2022" s="2">
        <v>0</v>
      </c>
      <c r="U2022" s="2">
        <v>0</v>
      </c>
      <c r="V2022" s="2">
        <v>0</v>
      </c>
      <c r="W2022" s="2">
        <v>2</v>
      </c>
      <c r="X2022" s="2" t="s">
        <v>6418</v>
      </c>
      <c r="Y2022" s="2">
        <v>0</v>
      </c>
      <c r="Z2022" s="2">
        <v>2</v>
      </c>
      <c r="AA2022" s="2">
        <v>2</v>
      </c>
      <c r="AB2022" s="2">
        <v>1</v>
      </c>
      <c r="AC2022" s="2">
        <v>6</v>
      </c>
      <c r="AD2022" s="2">
        <v>5</v>
      </c>
      <c r="AE2022" s="2" t="s">
        <v>0</v>
      </c>
      <c r="AF2022" s="2">
        <v>1</v>
      </c>
      <c r="AG2022" s="2" t="s">
        <v>49</v>
      </c>
    </row>
    <row r="2023" spans="1:33" ht="89.25" x14ac:dyDescent="0.2">
      <c r="A2023" s="5" t="str">
        <f>HYPERLINK("http://www.patentics.cn/invokexml.do?sf=ShowPatent&amp;spn=US9071433&amp;sv=bd623690e54e30689a9318783a9c715f","US9071433")</f>
        <v>US9071433</v>
      </c>
      <c r="B2023" s="3" t="s">
        <v>9192</v>
      </c>
      <c r="C2023" s="3" t="s">
        <v>9193</v>
      </c>
      <c r="D2023" s="3" t="s">
        <v>52</v>
      </c>
      <c r="E2023" s="3" t="s">
        <v>52</v>
      </c>
      <c r="F2023" s="3" t="s">
        <v>9194</v>
      </c>
      <c r="G2023" s="3" t="s">
        <v>9195</v>
      </c>
      <c r="H2023" s="3" t="s">
        <v>4431</v>
      </c>
      <c r="I2023" s="3" t="s">
        <v>4678</v>
      </c>
      <c r="J2023" s="3" t="s">
        <v>1075</v>
      </c>
      <c r="K2023" s="3" t="s">
        <v>82</v>
      </c>
      <c r="L2023" s="3" t="s">
        <v>226</v>
      </c>
      <c r="M2023" s="3" t="s">
        <v>0</v>
      </c>
      <c r="N2023" s="3" t="s">
        <v>0</v>
      </c>
      <c r="O2023" s="3">
        <v>0</v>
      </c>
      <c r="P2023" s="3">
        <v>13</v>
      </c>
      <c r="Q2023" s="3" t="s">
        <v>60</v>
      </c>
      <c r="R2023" s="3" t="s">
        <v>61</v>
      </c>
      <c r="S2023" s="3">
        <v>17</v>
      </c>
      <c r="T2023" s="3">
        <v>3</v>
      </c>
      <c r="U2023" s="3">
        <v>14</v>
      </c>
      <c r="V2023" s="3">
        <v>13</v>
      </c>
      <c r="W2023" s="3">
        <v>0</v>
      </c>
      <c r="X2023" s="3" t="s">
        <v>147</v>
      </c>
      <c r="Y2023" s="3">
        <v>0</v>
      </c>
      <c r="Z2023" s="3">
        <v>0</v>
      </c>
      <c r="AA2023" s="3">
        <v>0</v>
      </c>
      <c r="AB2023" s="3">
        <v>0</v>
      </c>
      <c r="AC2023" s="3">
        <v>5</v>
      </c>
      <c r="AD2023" s="3">
        <v>5</v>
      </c>
      <c r="AE2023" s="3">
        <v>14</v>
      </c>
      <c r="AF2023" s="3" t="s">
        <v>0</v>
      </c>
      <c r="AG2023" s="3" t="s">
        <v>49</v>
      </c>
    </row>
    <row r="2024" spans="1:33" ht="51" x14ac:dyDescent="0.2">
      <c r="A2024" s="4" t="str">
        <f>HYPERLINK("http://www.patentics.cn/invokexml.do?sf=ShowPatent&amp;spn=US20130044646&amp;sv=dbf44e81132d2600547c93106c4c559a","US20130044646")</f>
        <v>US20130044646</v>
      </c>
      <c r="B2024" s="2" t="s">
        <v>9196</v>
      </c>
      <c r="C2024" s="2" t="s">
        <v>9197</v>
      </c>
      <c r="D2024" s="2" t="s">
        <v>346</v>
      </c>
      <c r="E2024" s="2" t="s">
        <v>346</v>
      </c>
      <c r="F2024" s="2" t="s">
        <v>9198</v>
      </c>
      <c r="G2024" s="2" t="s">
        <v>9199</v>
      </c>
      <c r="H2024" s="2" t="s">
        <v>5349</v>
      </c>
      <c r="I2024" s="2" t="s">
        <v>9200</v>
      </c>
      <c r="J2024" s="2" t="s">
        <v>2679</v>
      </c>
      <c r="K2024" s="2" t="s">
        <v>58</v>
      </c>
      <c r="L2024" s="2" t="s">
        <v>4845</v>
      </c>
      <c r="M2024" s="2" t="s">
        <v>0</v>
      </c>
      <c r="N2024" s="2" t="s">
        <v>0</v>
      </c>
      <c r="O2024" s="2">
        <v>20</v>
      </c>
      <c r="P2024" s="2">
        <v>5</v>
      </c>
      <c r="Q2024" s="2" t="s">
        <v>352</v>
      </c>
      <c r="R2024" s="2" t="s">
        <v>47</v>
      </c>
      <c r="S2024" s="2">
        <v>0</v>
      </c>
      <c r="T2024" s="2">
        <v>0</v>
      </c>
      <c r="U2024" s="2">
        <v>0</v>
      </c>
      <c r="V2024" s="2">
        <v>0</v>
      </c>
      <c r="W2024" s="2">
        <v>8</v>
      </c>
      <c r="X2024" s="2" t="s">
        <v>9201</v>
      </c>
      <c r="Y2024" s="2">
        <v>0</v>
      </c>
      <c r="Z2024" s="2">
        <v>8</v>
      </c>
      <c r="AA2024" s="2">
        <v>5</v>
      </c>
      <c r="AB2024" s="2">
        <v>1</v>
      </c>
      <c r="AC2024" s="2">
        <v>4</v>
      </c>
      <c r="AD2024" s="2">
        <v>4</v>
      </c>
      <c r="AE2024" s="2" t="s">
        <v>0</v>
      </c>
      <c r="AF2024" s="2">
        <v>1</v>
      </c>
      <c r="AG2024" s="2" t="s">
        <v>49</v>
      </c>
    </row>
    <row r="2025" spans="1:33" ht="165.75" x14ac:dyDescent="0.2">
      <c r="A2025" s="5" t="str">
        <f>HYPERLINK("http://www.patentics.cn/invokexml.do?sf=ShowPatent&amp;spn=US9609144&amp;sv=d2d8a4286ecaca821cf90d4fa8705413","US9609144")</f>
        <v>US9609144</v>
      </c>
      <c r="B2025" s="3" t="s">
        <v>4834</v>
      </c>
      <c r="C2025" s="3" t="s">
        <v>4835</v>
      </c>
      <c r="D2025" s="3" t="s">
        <v>52</v>
      </c>
      <c r="E2025" s="3" t="s">
        <v>52</v>
      </c>
      <c r="F2025" s="3" t="s">
        <v>4836</v>
      </c>
      <c r="G2025" s="3" t="s">
        <v>4837</v>
      </c>
      <c r="H2025" s="3" t="s">
        <v>0</v>
      </c>
      <c r="I2025" s="3" t="s">
        <v>4838</v>
      </c>
      <c r="J2025" s="3" t="s">
        <v>3892</v>
      </c>
      <c r="K2025" s="3" t="s">
        <v>270</v>
      </c>
      <c r="L2025" s="3" t="s">
        <v>2336</v>
      </c>
      <c r="M2025" s="3" t="s">
        <v>270</v>
      </c>
      <c r="N2025" s="3" t="s">
        <v>4839</v>
      </c>
      <c r="O2025" s="3">
        <v>0</v>
      </c>
      <c r="P2025" s="3">
        <v>21</v>
      </c>
      <c r="Q2025" s="3" t="s">
        <v>60</v>
      </c>
      <c r="R2025" s="3" t="s">
        <v>61</v>
      </c>
      <c r="S2025" s="3">
        <v>20</v>
      </c>
      <c r="T2025" s="3">
        <v>0</v>
      </c>
      <c r="U2025" s="3">
        <v>20</v>
      </c>
      <c r="V2025" s="3">
        <v>15</v>
      </c>
      <c r="W2025" s="3">
        <v>0</v>
      </c>
      <c r="X2025" s="3" t="s">
        <v>147</v>
      </c>
      <c r="Y2025" s="3">
        <v>0</v>
      </c>
      <c r="Z2025" s="3">
        <v>0</v>
      </c>
      <c r="AA2025" s="3">
        <v>0</v>
      </c>
      <c r="AB2025" s="3">
        <v>0</v>
      </c>
      <c r="AC2025" s="3">
        <v>0</v>
      </c>
      <c r="AD2025" s="3">
        <v>0</v>
      </c>
      <c r="AE2025" s="3">
        <v>14</v>
      </c>
      <c r="AF2025" s="3" t="s">
        <v>0</v>
      </c>
      <c r="AG2025" s="3" t="s">
        <v>49</v>
      </c>
    </row>
    <row r="2026" spans="1:33" ht="63.75" x14ac:dyDescent="0.2">
      <c r="A2026" s="4" t="str">
        <f>HYPERLINK("http://www.patentics.cn/invokexml.do?sf=ShowPatent&amp;spn=US20130044071&amp;sv=ed0066c6da89afdb8decff2c130e284c","US20130044071")</f>
        <v>US20130044071</v>
      </c>
      <c r="B2026" s="2" t="s">
        <v>9202</v>
      </c>
      <c r="C2026" s="2" t="s">
        <v>9203</v>
      </c>
      <c r="D2026" s="2" t="s">
        <v>346</v>
      </c>
      <c r="E2026" s="2" t="s">
        <v>346</v>
      </c>
      <c r="F2026" s="2" t="s">
        <v>9204</v>
      </c>
      <c r="G2026" s="2" t="s">
        <v>9205</v>
      </c>
      <c r="H2026" s="2" t="s">
        <v>6173</v>
      </c>
      <c r="I2026" s="2" t="s">
        <v>1365</v>
      </c>
      <c r="J2026" s="2" t="s">
        <v>2679</v>
      </c>
      <c r="K2026" s="2" t="s">
        <v>555</v>
      </c>
      <c r="L2026" s="2" t="s">
        <v>6259</v>
      </c>
      <c r="M2026" s="2" t="s">
        <v>0</v>
      </c>
      <c r="N2026" s="2" t="s">
        <v>0</v>
      </c>
      <c r="O2026" s="2">
        <v>12</v>
      </c>
      <c r="P2026" s="2">
        <v>10</v>
      </c>
      <c r="Q2026" s="2" t="s">
        <v>352</v>
      </c>
      <c r="R2026" s="2" t="s">
        <v>47</v>
      </c>
      <c r="S2026" s="2">
        <v>0</v>
      </c>
      <c r="T2026" s="2">
        <v>0</v>
      </c>
      <c r="U2026" s="2">
        <v>0</v>
      </c>
      <c r="V2026" s="2">
        <v>0</v>
      </c>
      <c r="W2026" s="2">
        <v>6</v>
      </c>
      <c r="X2026" s="2" t="s">
        <v>189</v>
      </c>
      <c r="Y2026" s="2">
        <v>1</v>
      </c>
      <c r="Z2026" s="2">
        <v>5</v>
      </c>
      <c r="AA2026" s="2">
        <v>3</v>
      </c>
      <c r="AB2026" s="2">
        <v>1</v>
      </c>
      <c r="AC2026" s="2">
        <v>3</v>
      </c>
      <c r="AD2026" s="2">
        <v>4</v>
      </c>
      <c r="AE2026" s="2" t="s">
        <v>0</v>
      </c>
      <c r="AF2026" s="2">
        <v>1</v>
      </c>
      <c r="AG2026" s="2" t="s">
        <v>2231</v>
      </c>
    </row>
    <row r="2027" spans="1:33" ht="76.5" x14ac:dyDescent="0.2">
      <c r="A2027" s="5" t="str">
        <f>HYPERLINK("http://www.patentics.cn/invokexml.do?sf=ShowPatent&amp;spn=US9367145&amp;sv=1be95326cc78b2e3beb7774bb4962a5f","US9367145")</f>
        <v>US9367145</v>
      </c>
      <c r="B2027" s="3" t="s">
        <v>9206</v>
      </c>
      <c r="C2027" s="3" t="s">
        <v>9207</v>
      </c>
      <c r="D2027" s="3" t="s">
        <v>52</v>
      </c>
      <c r="E2027" s="3" t="s">
        <v>52</v>
      </c>
      <c r="F2027" s="3" t="s">
        <v>9208</v>
      </c>
      <c r="G2027" s="3" t="s">
        <v>9209</v>
      </c>
      <c r="H2027" s="3" t="s">
        <v>316</v>
      </c>
      <c r="I2027" s="3" t="s">
        <v>2281</v>
      </c>
      <c r="J2027" s="3" t="s">
        <v>2829</v>
      </c>
      <c r="K2027" s="3" t="s">
        <v>555</v>
      </c>
      <c r="L2027" s="3" t="s">
        <v>2124</v>
      </c>
      <c r="M2027" s="3" t="s">
        <v>555</v>
      </c>
      <c r="N2027" s="3" t="s">
        <v>9210</v>
      </c>
      <c r="O2027" s="3">
        <v>0</v>
      </c>
      <c r="P2027" s="3">
        <v>12</v>
      </c>
      <c r="Q2027" s="3" t="s">
        <v>60</v>
      </c>
      <c r="R2027" s="3" t="s">
        <v>61</v>
      </c>
      <c r="S2027" s="3">
        <v>18</v>
      </c>
      <c r="T2027" s="3">
        <v>1</v>
      </c>
      <c r="U2027" s="3">
        <v>17</v>
      </c>
      <c r="V2027" s="3">
        <v>16</v>
      </c>
      <c r="W2027" s="3">
        <v>0</v>
      </c>
      <c r="X2027" s="3" t="s">
        <v>147</v>
      </c>
      <c r="Y2027" s="3">
        <v>0</v>
      </c>
      <c r="Z2027" s="3">
        <v>0</v>
      </c>
      <c r="AA2027" s="3">
        <v>0</v>
      </c>
      <c r="AB2027" s="3">
        <v>0</v>
      </c>
      <c r="AC2027" s="3">
        <v>1</v>
      </c>
      <c r="AD2027" s="3">
        <v>1</v>
      </c>
      <c r="AE2027" s="3">
        <v>14</v>
      </c>
      <c r="AF2027" s="3" t="s">
        <v>0</v>
      </c>
      <c r="AG2027" s="3" t="s">
        <v>49</v>
      </c>
    </row>
    <row r="2028" spans="1:33" ht="38.25" x14ac:dyDescent="0.2">
      <c r="A2028" s="4" t="str">
        <f>HYPERLINK("http://www.patentics.cn/invokexml.do?sf=ShowPatent&amp;spn=US20130041997&amp;sv=0e67aed0c68c4661f2a45f40e780bc1a","US20130041997")</f>
        <v>US20130041997</v>
      </c>
      <c r="B2028" s="2" t="s">
        <v>9211</v>
      </c>
      <c r="C2028" s="2" t="s">
        <v>9212</v>
      </c>
      <c r="D2028" s="2" t="s">
        <v>346</v>
      </c>
      <c r="E2028" s="2" t="s">
        <v>346</v>
      </c>
      <c r="F2028" s="2" t="s">
        <v>9213</v>
      </c>
      <c r="G2028" s="2" t="s">
        <v>6179</v>
      </c>
      <c r="H2028" s="2" t="s">
        <v>1403</v>
      </c>
      <c r="I2028" s="2" t="s">
        <v>1692</v>
      </c>
      <c r="J2028" s="2" t="s">
        <v>6174</v>
      </c>
      <c r="K2028" s="2" t="s">
        <v>555</v>
      </c>
      <c r="L2028" s="2" t="s">
        <v>1553</v>
      </c>
      <c r="M2028" s="2" t="s">
        <v>0</v>
      </c>
      <c r="N2028" s="2" t="s">
        <v>0</v>
      </c>
      <c r="O2028" s="2">
        <v>20</v>
      </c>
      <c r="P2028" s="2">
        <v>10</v>
      </c>
      <c r="Q2028" s="2" t="s">
        <v>352</v>
      </c>
      <c r="R2028" s="2" t="s">
        <v>47</v>
      </c>
      <c r="S2028" s="2">
        <v>0</v>
      </c>
      <c r="T2028" s="2">
        <v>0</v>
      </c>
      <c r="U2028" s="2">
        <v>0</v>
      </c>
      <c r="V2028" s="2">
        <v>0</v>
      </c>
      <c r="W2028" s="2">
        <v>7</v>
      </c>
      <c r="X2028" s="2" t="s">
        <v>9214</v>
      </c>
      <c r="Y2028" s="2">
        <v>2</v>
      </c>
      <c r="Z2028" s="2">
        <v>5</v>
      </c>
      <c r="AA2028" s="2">
        <v>6</v>
      </c>
      <c r="AB2028" s="2">
        <v>2</v>
      </c>
      <c r="AC2028" s="2">
        <v>4</v>
      </c>
      <c r="AD2028" s="2">
        <v>4</v>
      </c>
      <c r="AE2028" s="2" t="s">
        <v>0</v>
      </c>
      <c r="AF2028" s="2">
        <v>1</v>
      </c>
      <c r="AG2028" s="2" t="s">
        <v>49</v>
      </c>
    </row>
    <row r="2029" spans="1:33" ht="127.5" x14ac:dyDescent="0.2">
      <c r="A2029" s="5" t="str">
        <f>HYPERLINK("http://www.patentics.cn/invokexml.do?sf=ShowPatent&amp;spn=US9584482&amp;sv=c614f2088f006a77a45d8dfb7a2d16d7","US9584482")</f>
        <v>US9584482</v>
      </c>
      <c r="B2029" s="3" t="s">
        <v>9215</v>
      </c>
      <c r="C2029" s="3" t="s">
        <v>9216</v>
      </c>
      <c r="D2029" s="3" t="s">
        <v>52</v>
      </c>
      <c r="E2029" s="3" t="s">
        <v>52</v>
      </c>
      <c r="F2029" s="3" t="s">
        <v>9217</v>
      </c>
      <c r="G2029" s="3" t="s">
        <v>9218</v>
      </c>
      <c r="H2029" s="3" t="s">
        <v>9219</v>
      </c>
      <c r="I2029" s="3" t="s">
        <v>1899</v>
      </c>
      <c r="J2029" s="3" t="s">
        <v>2718</v>
      </c>
      <c r="K2029" s="3" t="s">
        <v>555</v>
      </c>
      <c r="L2029" s="3" t="s">
        <v>1797</v>
      </c>
      <c r="M2029" s="3" t="s">
        <v>58</v>
      </c>
      <c r="N2029" s="3" t="s">
        <v>9220</v>
      </c>
      <c r="O2029" s="3">
        <v>0</v>
      </c>
      <c r="P2029" s="3">
        <v>22</v>
      </c>
      <c r="Q2029" s="3" t="s">
        <v>60</v>
      </c>
      <c r="R2029" s="3" t="s">
        <v>61</v>
      </c>
      <c r="S2029" s="3">
        <v>51</v>
      </c>
      <c r="T2029" s="3">
        <v>3</v>
      </c>
      <c r="U2029" s="3">
        <v>48</v>
      </c>
      <c r="V2029" s="3">
        <v>37</v>
      </c>
      <c r="W2029" s="3">
        <v>0</v>
      </c>
      <c r="X2029" s="3" t="s">
        <v>147</v>
      </c>
      <c r="Y2029" s="3">
        <v>0</v>
      </c>
      <c r="Z2029" s="3">
        <v>0</v>
      </c>
      <c r="AA2029" s="3">
        <v>0</v>
      </c>
      <c r="AB2029" s="3">
        <v>0</v>
      </c>
      <c r="AC2029" s="3">
        <v>2</v>
      </c>
      <c r="AD2029" s="3">
        <v>1</v>
      </c>
      <c r="AE2029" s="3">
        <v>14</v>
      </c>
      <c r="AF2029" s="3" t="s">
        <v>0</v>
      </c>
      <c r="AG2029" s="3" t="s">
        <v>49</v>
      </c>
    </row>
    <row r="2030" spans="1:33" ht="38.25" x14ac:dyDescent="0.2">
      <c r="A2030" s="4" t="str">
        <f>HYPERLINK("http://www.patentics.cn/invokexml.do?sf=ShowPatent&amp;spn=US20130023266&amp;sv=791e70d1db4733b4bae3febfb95fc935","US20130023266")</f>
        <v>US20130023266</v>
      </c>
      <c r="B2030" s="2" t="s">
        <v>9221</v>
      </c>
      <c r="C2030" s="2" t="s">
        <v>9222</v>
      </c>
      <c r="D2030" s="2" t="s">
        <v>346</v>
      </c>
      <c r="E2030" s="2" t="s">
        <v>346</v>
      </c>
      <c r="F2030" s="2" t="s">
        <v>9223</v>
      </c>
      <c r="G2030" s="2" t="s">
        <v>9223</v>
      </c>
      <c r="H2030" s="2" t="s">
        <v>7071</v>
      </c>
      <c r="I2030" s="2" t="s">
        <v>4491</v>
      </c>
      <c r="J2030" s="2" t="s">
        <v>1773</v>
      </c>
      <c r="K2030" s="2" t="s">
        <v>82</v>
      </c>
      <c r="L2030" s="2" t="s">
        <v>9224</v>
      </c>
      <c r="M2030" s="2" t="s">
        <v>0</v>
      </c>
      <c r="N2030" s="2" t="s">
        <v>0</v>
      </c>
      <c r="O2030" s="2">
        <v>11</v>
      </c>
      <c r="P2030" s="2">
        <v>13</v>
      </c>
      <c r="Q2030" s="2" t="s">
        <v>352</v>
      </c>
      <c r="R2030" s="2" t="s">
        <v>47</v>
      </c>
      <c r="S2030" s="2">
        <v>0</v>
      </c>
      <c r="T2030" s="2">
        <v>0</v>
      </c>
      <c r="U2030" s="2">
        <v>0</v>
      </c>
      <c r="V2030" s="2">
        <v>0</v>
      </c>
      <c r="W2030" s="2">
        <v>1</v>
      </c>
      <c r="X2030" s="2" t="s">
        <v>403</v>
      </c>
      <c r="Y2030" s="2">
        <v>0</v>
      </c>
      <c r="Z2030" s="2">
        <v>1</v>
      </c>
      <c r="AA2030" s="2">
        <v>1</v>
      </c>
      <c r="AB2030" s="2">
        <v>1</v>
      </c>
      <c r="AC2030" s="2">
        <v>7</v>
      </c>
      <c r="AD2030" s="2">
        <v>6</v>
      </c>
      <c r="AE2030" s="2" t="s">
        <v>0</v>
      </c>
      <c r="AF2030" s="2">
        <v>1</v>
      </c>
      <c r="AG2030" s="2" t="s">
        <v>49</v>
      </c>
    </row>
    <row r="2031" spans="1:33" ht="38.25" x14ac:dyDescent="0.2">
      <c r="A2031" s="5" t="str">
        <f>HYPERLINK("http://www.patentics.cn/invokexml.do?sf=ShowPatent&amp;spn=US9215626&amp;sv=1e4bbaf26734be708e27ba24dd53ddde","US9215626")</f>
        <v>US9215626</v>
      </c>
      <c r="B2031" s="3" t="s">
        <v>3614</v>
      </c>
      <c r="C2031" s="3" t="s">
        <v>3615</v>
      </c>
      <c r="D2031" s="3" t="s">
        <v>52</v>
      </c>
      <c r="E2031" s="3" t="s">
        <v>52</v>
      </c>
      <c r="F2031" s="3" t="s">
        <v>3616</v>
      </c>
      <c r="G2031" s="3" t="s">
        <v>3616</v>
      </c>
      <c r="H2031" s="3" t="s">
        <v>3617</v>
      </c>
      <c r="I2031" s="3" t="s">
        <v>3618</v>
      </c>
      <c r="J2031" s="3" t="s">
        <v>2568</v>
      </c>
      <c r="K2031" s="3" t="s">
        <v>82</v>
      </c>
      <c r="L2031" s="3" t="s">
        <v>83</v>
      </c>
      <c r="M2031" s="3" t="s">
        <v>82</v>
      </c>
      <c r="N2031" s="3" t="s">
        <v>3421</v>
      </c>
      <c r="O2031" s="3">
        <v>0</v>
      </c>
      <c r="P2031" s="3">
        <v>7</v>
      </c>
      <c r="Q2031" s="3" t="s">
        <v>60</v>
      </c>
      <c r="R2031" s="3" t="s">
        <v>61</v>
      </c>
      <c r="S2031" s="3">
        <v>22</v>
      </c>
      <c r="T2031" s="3">
        <v>1</v>
      </c>
      <c r="U2031" s="3">
        <v>21</v>
      </c>
      <c r="V2031" s="3">
        <v>13</v>
      </c>
      <c r="W2031" s="3">
        <v>12</v>
      </c>
      <c r="X2031" s="3" t="s">
        <v>147</v>
      </c>
      <c r="Y2031" s="3">
        <v>0</v>
      </c>
      <c r="Z2031" s="3">
        <v>12</v>
      </c>
      <c r="AA2031" s="3">
        <v>0</v>
      </c>
      <c r="AB2031" s="3">
        <v>1</v>
      </c>
      <c r="AC2031" s="3">
        <v>8</v>
      </c>
      <c r="AD2031" s="3">
        <v>6</v>
      </c>
      <c r="AE2031" s="3">
        <v>14</v>
      </c>
      <c r="AF2031" s="3" t="s">
        <v>0</v>
      </c>
      <c r="AG2031" s="3" t="s">
        <v>49</v>
      </c>
    </row>
    <row r="2032" spans="1:33" ht="89.25" x14ac:dyDescent="0.2">
      <c r="A2032" s="4" t="str">
        <f>HYPERLINK("http://www.patentics.cn/invokexml.do?sf=ShowPatent&amp;spn=US20130005334&amp;sv=2d750594fa2951d1e737e872c0b73500","US20130005334")</f>
        <v>US20130005334</v>
      </c>
      <c r="B2032" s="2" t="s">
        <v>9225</v>
      </c>
      <c r="C2032" s="2" t="s">
        <v>9226</v>
      </c>
      <c r="D2032" s="2" t="s">
        <v>346</v>
      </c>
      <c r="E2032" s="2" t="s">
        <v>346</v>
      </c>
      <c r="F2032" s="2" t="s">
        <v>9227</v>
      </c>
      <c r="G2032" s="2" t="s">
        <v>9228</v>
      </c>
      <c r="H2032" s="2" t="s">
        <v>3393</v>
      </c>
      <c r="I2032" s="2" t="s">
        <v>7785</v>
      </c>
      <c r="J2032" s="2" t="s">
        <v>6681</v>
      </c>
      <c r="K2032" s="2" t="s">
        <v>82</v>
      </c>
      <c r="L2032" s="2" t="s">
        <v>2668</v>
      </c>
      <c r="M2032" s="2" t="s">
        <v>0</v>
      </c>
      <c r="N2032" s="2" t="s">
        <v>0</v>
      </c>
      <c r="O2032" s="2">
        <v>17</v>
      </c>
      <c r="P2032" s="2">
        <v>15</v>
      </c>
      <c r="Q2032" s="2" t="s">
        <v>352</v>
      </c>
      <c r="R2032" s="2" t="s">
        <v>47</v>
      </c>
      <c r="S2032" s="2">
        <v>0</v>
      </c>
      <c r="T2032" s="2">
        <v>0</v>
      </c>
      <c r="U2032" s="2">
        <v>0</v>
      </c>
      <c r="V2032" s="2">
        <v>0</v>
      </c>
      <c r="W2032" s="2">
        <v>1</v>
      </c>
      <c r="X2032" s="2" t="s">
        <v>403</v>
      </c>
      <c r="Y2032" s="2">
        <v>0</v>
      </c>
      <c r="Z2032" s="2">
        <v>1</v>
      </c>
      <c r="AA2032" s="2">
        <v>1</v>
      </c>
      <c r="AB2032" s="2">
        <v>1</v>
      </c>
      <c r="AC2032" s="2">
        <v>6</v>
      </c>
      <c r="AD2032" s="2">
        <v>4</v>
      </c>
      <c r="AE2032" s="2" t="s">
        <v>0</v>
      </c>
      <c r="AF2032" s="2">
        <v>1</v>
      </c>
      <c r="AG2032" s="2" t="s">
        <v>49</v>
      </c>
    </row>
    <row r="2033" spans="1:33" ht="89.25" x14ac:dyDescent="0.2">
      <c r="A2033" s="5" t="str">
        <f>HYPERLINK("http://www.patentics.cn/invokexml.do?sf=ShowPatent&amp;spn=US9338713&amp;sv=0d6fc2ff8053cc11a4bda99634904661","US9338713")</f>
        <v>US9338713</v>
      </c>
      <c r="B2033" s="3" t="s">
        <v>9229</v>
      </c>
      <c r="C2033" s="3" t="s">
        <v>9230</v>
      </c>
      <c r="D2033" s="3" t="s">
        <v>52</v>
      </c>
      <c r="E2033" s="3" t="s">
        <v>52</v>
      </c>
      <c r="F2033" s="3" t="s">
        <v>9231</v>
      </c>
      <c r="G2033" s="3" t="s">
        <v>9232</v>
      </c>
      <c r="H2033" s="3" t="s">
        <v>5123</v>
      </c>
      <c r="I2033" s="3" t="s">
        <v>1701</v>
      </c>
      <c r="J2033" s="3" t="s">
        <v>840</v>
      </c>
      <c r="K2033" s="3" t="s">
        <v>82</v>
      </c>
      <c r="L2033" s="3" t="s">
        <v>9233</v>
      </c>
      <c r="M2033" s="3" t="s">
        <v>82</v>
      </c>
      <c r="N2033" s="3" t="s">
        <v>3509</v>
      </c>
      <c r="O2033" s="3">
        <v>0</v>
      </c>
      <c r="P2033" s="3">
        <v>16</v>
      </c>
      <c r="Q2033" s="3" t="s">
        <v>60</v>
      </c>
      <c r="R2033" s="3" t="s">
        <v>61</v>
      </c>
      <c r="S2033" s="3">
        <v>20</v>
      </c>
      <c r="T2033" s="3">
        <v>4</v>
      </c>
      <c r="U2033" s="3">
        <v>16</v>
      </c>
      <c r="V2033" s="3">
        <v>14</v>
      </c>
      <c r="W2033" s="3">
        <v>0</v>
      </c>
      <c r="X2033" s="3" t="s">
        <v>147</v>
      </c>
      <c r="Y2033" s="3">
        <v>0</v>
      </c>
      <c r="Z2033" s="3">
        <v>0</v>
      </c>
      <c r="AA2033" s="3">
        <v>0</v>
      </c>
      <c r="AB2033" s="3">
        <v>0</v>
      </c>
      <c r="AC2033" s="3">
        <v>5</v>
      </c>
      <c r="AD2033" s="3">
        <v>5</v>
      </c>
      <c r="AE2033" s="3">
        <v>14</v>
      </c>
      <c r="AF2033" s="3" t="s">
        <v>0</v>
      </c>
      <c r="AG2033" s="3" t="s">
        <v>49</v>
      </c>
    </row>
    <row r="2034" spans="1:33" ht="51" x14ac:dyDescent="0.2">
      <c r="A2034" s="4" t="str">
        <f>HYPERLINK("http://www.patentics.cn/invokexml.do?sf=ShowPatent&amp;spn=US20120320876&amp;sv=e451efadc6e9aa09265f4695779ba72d","US20120320876")</f>
        <v>US20120320876</v>
      </c>
      <c r="B2034" s="2" t="s">
        <v>9234</v>
      </c>
      <c r="C2034" s="2" t="s">
        <v>9235</v>
      </c>
      <c r="D2034" s="2" t="s">
        <v>346</v>
      </c>
      <c r="E2034" s="2" t="s">
        <v>346</v>
      </c>
      <c r="F2034" s="2" t="s">
        <v>9236</v>
      </c>
      <c r="G2034" s="2" t="s">
        <v>9237</v>
      </c>
      <c r="H2034" s="2" t="s">
        <v>9238</v>
      </c>
      <c r="I2034" s="2" t="s">
        <v>5410</v>
      </c>
      <c r="J2034" s="2" t="s">
        <v>3677</v>
      </c>
      <c r="K2034" s="2" t="s">
        <v>82</v>
      </c>
      <c r="L2034" s="2" t="s">
        <v>177</v>
      </c>
      <c r="M2034" s="2" t="s">
        <v>0</v>
      </c>
      <c r="N2034" s="2" t="s">
        <v>0</v>
      </c>
      <c r="O2034" s="2">
        <v>20</v>
      </c>
      <c r="P2034" s="2">
        <v>7</v>
      </c>
      <c r="Q2034" s="2" t="s">
        <v>352</v>
      </c>
      <c r="R2034" s="2" t="s">
        <v>47</v>
      </c>
      <c r="S2034" s="2">
        <v>0</v>
      </c>
      <c r="T2034" s="2">
        <v>0</v>
      </c>
      <c r="U2034" s="2">
        <v>0</v>
      </c>
      <c r="V2034" s="2">
        <v>0</v>
      </c>
      <c r="W2034" s="2">
        <v>3</v>
      </c>
      <c r="X2034" s="2" t="s">
        <v>4456</v>
      </c>
      <c r="Y2034" s="2">
        <v>0</v>
      </c>
      <c r="Z2034" s="2">
        <v>3</v>
      </c>
      <c r="AA2034" s="2">
        <v>3</v>
      </c>
      <c r="AB2034" s="2">
        <v>1</v>
      </c>
      <c r="AC2034" s="2">
        <v>9</v>
      </c>
      <c r="AD2034" s="2">
        <v>6</v>
      </c>
      <c r="AE2034" s="2" t="s">
        <v>0</v>
      </c>
      <c r="AF2034" s="2">
        <v>1</v>
      </c>
      <c r="AG2034" s="2" t="s">
        <v>49</v>
      </c>
    </row>
    <row r="2035" spans="1:33" ht="204" x14ac:dyDescent="0.2">
      <c r="A2035" s="5" t="str">
        <f>HYPERLINK("http://www.patentics.cn/invokexml.do?sf=ShowPatent&amp;spn=US8861410&amp;sv=7330af8309ec3ab0b59bf65933a09757","US8861410")</f>
        <v>US8861410</v>
      </c>
      <c r="B2035" s="3" t="s">
        <v>9239</v>
      </c>
      <c r="C2035" s="3" t="s">
        <v>9240</v>
      </c>
      <c r="D2035" s="3" t="s">
        <v>52</v>
      </c>
      <c r="E2035" s="3" t="s">
        <v>52</v>
      </c>
      <c r="F2035" s="3" t="s">
        <v>9241</v>
      </c>
      <c r="G2035" s="3" t="s">
        <v>9242</v>
      </c>
      <c r="H2035" s="3" t="s">
        <v>9243</v>
      </c>
      <c r="I2035" s="3" t="s">
        <v>9243</v>
      </c>
      <c r="J2035" s="3" t="s">
        <v>1461</v>
      </c>
      <c r="K2035" s="3" t="s">
        <v>84</v>
      </c>
      <c r="L2035" s="3" t="s">
        <v>163</v>
      </c>
      <c r="M2035" s="3" t="s">
        <v>58</v>
      </c>
      <c r="N2035" s="3" t="s">
        <v>9244</v>
      </c>
      <c r="O2035" s="3">
        <v>0</v>
      </c>
      <c r="P2035" s="3">
        <v>8</v>
      </c>
      <c r="Q2035" s="3" t="s">
        <v>60</v>
      </c>
      <c r="R2035" s="3" t="s">
        <v>61</v>
      </c>
      <c r="S2035" s="3">
        <v>10</v>
      </c>
      <c r="T2035" s="3">
        <v>0</v>
      </c>
      <c r="U2035" s="3">
        <v>10</v>
      </c>
      <c r="V2035" s="3">
        <v>8</v>
      </c>
      <c r="W2035" s="3">
        <v>0</v>
      </c>
      <c r="X2035" s="3" t="s">
        <v>147</v>
      </c>
      <c r="Y2035" s="3">
        <v>0</v>
      </c>
      <c r="Z2035" s="3">
        <v>0</v>
      </c>
      <c r="AA2035" s="3">
        <v>0</v>
      </c>
      <c r="AB2035" s="3">
        <v>0</v>
      </c>
      <c r="AC2035" s="3">
        <v>2</v>
      </c>
      <c r="AD2035" s="3">
        <v>2</v>
      </c>
      <c r="AE2035" s="3">
        <v>14</v>
      </c>
      <c r="AF2035" s="3" t="s">
        <v>0</v>
      </c>
      <c r="AG2035" s="3" t="s">
        <v>49</v>
      </c>
    </row>
    <row r="2036" spans="1:33" ht="25.5" x14ac:dyDescent="0.2">
      <c r="A2036" s="4" t="str">
        <f>HYPERLINK("http://www.patentics.cn/invokexml.do?sf=ShowPatent&amp;spn=US20120315900&amp;sv=39d950a2fd44f6984e90e27e29ec7963","US20120315900")</f>
        <v>US20120315900</v>
      </c>
      <c r="B2036" s="2" t="s">
        <v>9245</v>
      </c>
      <c r="C2036" s="2" t="s">
        <v>2363</v>
      </c>
      <c r="D2036" s="2" t="s">
        <v>346</v>
      </c>
      <c r="E2036" s="2" t="s">
        <v>346</v>
      </c>
      <c r="F2036" s="2" t="s">
        <v>9246</v>
      </c>
      <c r="G2036" s="2" t="s">
        <v>9246</v>
      </c>
      <c r="H2036" s="2" t="s">
        <v>603</v>
      </c>
      <c r="I2036" s="2" t="s">
        <v>2365</v>
      </c>
      <c r="J2036" s="2" t="s">
        <v>4920</v>
      </c>
      <c r="K2036" s="2" t="s">
        <v>82</v>
      </c>
      <c r="L2036" s="2" t="s">
        <v>1560</v>
      </c>
      <c r="M2036" s="2" t="s">
        <v>0</v>
      </c>
      <c r="N2036" s="2" t="s">
        <v>0</v>
      </c>
      <c r="O2036" s="2">
        <v>20</v>
      </c>
      <c r="P2036" s="2">
        <v>26</v>
      </c>
      <c r="Q2036" s="2" t="s">
        <v>352</v>
      </c>
      <c r="R2036" s="2" t="s">
        <v>47</v>
      </c>
      <c r="S2036" s="2">
        <v>0</v>
      </c>
      <c r="T2036" s="2">
        <v>0</v>
      </c>
      <c r="U2036" s="2">
        <v>0</v>
      </c>
      <c r="V2036" s="2">
        <v>0</v>
      </c>
      <c r="W2036" s="2">
        <v>2</v>
      </c>
      <c r="X2036" s="2" t="s">
        <v>1807</v>
      </c>
      <c r="Y2036" s="2">
        <v>0</v>
      </c>
      <c r="Z2036" s="2">
        <v>2</v>
      </c>
      <c r="AA2036" s="2">
        <v>2</v>
      </c>
      <c r="AB2036" s="2">
        <v>1</v>
      </c>
      <c r="AC2036" s="2">
        <v>5</v>
      </c>
      <c r="AD2036" s="2">
        <v>4</v>
      </c>
      <c r="AE2036" s="2" t="s">
        <v>0</v>
      </c>
      <c r="AF2036" s="2">
        <v>1</v>
      </c>
      <c r="AG2036" s="2" t="s">
        <v>49</v>
      </c>
    </row>
    <row r="2037" spans="1:33" ht="51" x14ac:dyDescent="0.2">
      <c r="A2037" s="5" t="str">
        <f>HYPERLINK("http://www.patentics.cn/invokexml.do?sf=ShowPatent&amp;spn=US9036552&amp;sv=d15b4eb9013a164fcf6dbf7544efc54f","US9036552")</f>
        <v>US9036552</v>
      </c>
      <c r="B2037" s="3" t="s">
        <v>4439</v>
      </c>
      <c r="C2037" s="3" t="s">
        <v>4440</v>
      </c>
      <c r="D2037" s="3" t="s">
        <v>52</v>
      </c>
      <c r="E2037" s="3" t="s">
        <v>52</v>
      </c>
      <c r="F2037" s="3" t="s">
        <v>4441</v>
      </c>
      <c r="G2037" s="3" t="s">
        <v>3572</v>
      </c>
      <c r="H2037" s="3" t="s">
        <v>4442</v>
      </c>
      <c r="I2037" s="3" t="s">
        <v>4443</v>
      </c>
      <c r="J2037" s="3" t="s">
        <v>207</v>
      </c>
      <c r="K2037" s="3" t="s">
        <v>82</v>
      </c>
      <c r="L2037" s="3" t="s">
        <v>177</v>
      </c>
      <c r="M2037" s="3" t="s">
        <v>0</v>
      </c>
      <c r="N2037" s="3" t="s">
        <v>0</v>
      </c>
      <c r="O2037" s="3">
        <v>0</v>
      </c>
      <c r="P2037" s="3">
        <v>11</v>
      </c>
      <c r="Q2037" s="3" t="s">
        <v>60</v>
      </c>
      <c r="R2037" s="3" t="s">
        <v>61</v>
      </c>
      <c r="S2037" s="3">
        <v>15</v>
      </c>
      <c r="T2037" s="3">
        <v>2</v>
      </c>
      <c r="U2037" s="3">
        <v>13</v>
      </c>
      <c r="V2037" s="3">
        <v>10</v>
      </c>
      <c r="W2037" s="3">
        <v>0</v>
      </c>
      <c r="X2037" s="3" t="s">
        <v>147</v>
      </c>
      <c r="Y2037" s="3">
        <v>0</v>
      </c>
      <c r="Z2037" s="3">
        <v>0</v>
      </c>
      <c r="AA2037" s="3">
        <v>0</v>
      </c>
      <c r="AB2037" s="3">
        <v>0</v>
      </c>
      <c r="AC2037" s="3">
        <v>3</v>
      </c>
      <c r="AD2037" s="3">
        <v>3</v>
      </c>
      <c r="AE2037" s="3">
        <v>14</v>
      </c>
      <c r="AF2037" s="3" t="s">
        <v>0</v>
      </c>
      <c r="AG2037" s="3" t="s">
        <v>49</v>
      </c>
    </row>
    <row r="2038" spans="1:33" ht="25.5" x14ac:dyDescent="0.2">
      <c r="A2038" s="4" t="str">
        <f>HYPERLINK("http://www.patentics.cn/invokexml.do?sf=ShowPatent&amp;spn=US20120315878&amp;sv=aedd44bdd9652dc932302237d07fbbf8","US20120315878")</f>
        <v>US20120315878</v>
      </c>
      <c r="B2038" s="2" t="s">
        <v>9247</v>
      </c>
      <c r="C2038" s="2" t="s">
        <v>9248</v>
      </c>
      <c r="D2038" s="2" t="s">
        <v>346</v>
      </c>
      <c r="E2038" s="2" t="s">
        <v>346</v>
      </c>
      <c r="F2038" s="2" t="s">
        <v>6373</v>
      </c>
      <c r="G2038" s="2" t="s">
        <v>6373</v>
      </c>
      <c r="H2038" s="2" t="s">
        <v>2914</v>
      </c>
      <c r="I2038" s="2" t="s">
        <v>2040</v>
      </c>
      <c r="J2038" s="2" t="s">
        <v>4920</v>
      </c>
      <c r="K2038" s="2" t="s">
        <v>82</v>
      </c>
      <c r="L2038" s="2" t="s">
        <v>9249</v>
      </c>
      <c r="M2038" s="2" t="s">
        <v>0</v>
      </c>
      <c r="N2038" s="2" t="s">
        <v>0</v>
      </c>
      <c r="O2038" s="2">
        <v>26</v>
      </c>
      <c r="P2038" s="2">
        <v>11</v>
      </c>
      <c r="Q2038" s="2" t="s">
        <v>352</v>
      </c>
      <c r="R2038" s="2" t="s">
        <v>47</v>
      </c>
      <c r="S2038" s="2">
        <v>0</v>
      </c>
      <c r="T2038" s="2">
        <v>0</v>
      </c>
      <c r="U2038" s="2">
        <v>0</v>
      </c>
      <c r="V2038" s="2">
        <v>0</v>
      </c>
      <c r="W2038" s="2">
        <v>4</v>
      </c>
      <c r="X2038" s="2" t="s">
        <v>1148</v>
      </c>
      <c r="Y2038" s="2">
        <v>0</v>
      </c>
      <c r="Z2038" s="2">
        <v>4</v>
      </c>
      <c r="AA2038" s="2">
        <v>2</v>
      </c>
      <c r="AB2038" s="2">
        <v>1</v>
      </c>
      <c r="AC2038" s="2">
        <v>5</v>
      </c>
      <c r="AD2038" s="2">
        <v>4</v>
      </c>
      <c r="AE2038" s="2" t="s">
        <v>0</v>
      </c>
      <c r="AF2038" s="2">
        <v>1</v>
      </c>
      <c r="AG2038" s="2" t="s">
        <v>49</v>
      </c>
    </row>
    <row r="2039" spans="1:33" ht="38.25" x14ac:dyDescent="0.2">
      <c r="A2039" s="5" t="str">
        <f>HYPERLINK("http://www.patentics.cn/invokexml.do?sf=ShowPatent&amp;spn=US8830908&amp;sv=3b047d39c724517fbe68fe1658b91e3f","US8830908")</f>
        <v>US8830908</v>
      </c>
      <c r="B2039" s="3" t="s">
        <v>9250</v>
      </c>
      <c r="C2039" s="3" t="s">
        <v>9251</v>
      </c>
      <c r="D2039" s="3" t="s">
        <v>52</v>
      </c>
      <c r="E2039" s="3" t="s">
        <v>52</v>
      </c>
      <c r="F2039" s="3" t="s">
        <v>9252</v>
      </c>
      <c r="G2039" s="3" t="s">
        <v>9253</v>
      </c>
      <c r="H2039" s="3" t="s">
        <v>570</v>
      </c>
      <c r="I2039" s="3" t="s">
        <v>5044</v>
      </c>
      <c r="J2039" s="3" t="s">
        <v>176</v>
      </c>
      <c r="K2039" s="3" t="s">
        <v>82</v>
      </c>
      <c r="L2039" s="3" t="s">
        <v>83</v>
      </c>
      <c r="M2039" s="3" t="s">
        <v>82</v>
      </c>
      <c r="N2039" s="3" t="s">
        <v>9254</v>
      </c>
      <c r="O2039" s="3">
        <v>0</v>
      </c>
      <c r="P2039" s="3">
        <v>8</v>
      </c>
      <c r="Q2039" s="3" t="s">
        <v>60</v>
      </c>
      <c r="R2039" s="3" t="s">
        <v>61</v>
      </c>
      <c r="S2039" s="3">
        <v>13</v>
      </c>
      <c r="T2039" s="3">
        <v>0</v>
      </c>
      <c r="U2039" s="3">
        <v>13</v>
      </c>
      <c r="V2039" s="3">
        <v>8</v>
      </c>
      <c r="W2039" s="3">
        <v>1</v>
      </c>
      <c r="X2039" s="3" t="s">
        <v>403</v>
      </c>
      <c r="Y2039" s="3">
        <v>0</v>
      </c>
      <c r="Z2039" s="3">
        <v>1</v>
      </c>
      <c r="AA2039" s="3">
        <v>1</v>
      </c>
      <c r="AB2039" s="3">
        <v>1</v>
      </c>
      <c r="AC2039" s="3">
        <v>4</v>
      </c>
      <c r="AD2039" s="3">
        <v>3</v>
      </c>
      <c r="AE2039" s="3">
        <v>14</v>
      </c>
      <c r="AF2039" s="3" t="s">
        <v>0</v>
      </c>
      <c r="AG2039" s="3" t="s">
        <v>49</v>
      </c>
    </row>
    <row r="2040" spans="1:33" ht="51" x14ac:dyDescent="0.2">
      <c r="A2040" s="4" t="str">
        <f>HYPERLINK("http://www.patentics.cn/invokexml.do?sf=ShowPatent&amp;spn=US20120314642&amp;sv=0f329c9a82fb2b3e69cb70931ab7fdcb","US20120314642")</f>
        <v>US20120314642</v>
      </c>
      <c r="B2040" s="2" t="s">
        <v>9255</v>
      </c>
      <c r="C2040" s="2" t="s">
        <v>9256</v>
      </c>
      <c r="D2040" s="2" t="s">
        <v>346</v>
      </c>
      <c r="E2040" s="2" t="s">
        <v>346</v>
      </c>
      <c r="F2040" s="2" t="s">
        <v>6424</v>
      </c>
      <c r="G2040" s="2" t="s">
        <v>6424</v>
      </c>
      <c r="H2040" s="2" t="s">
        <v>2296</v>
      </c>
      <c r="I2040" s="2" t="s">
        <v>4523</v>
      </c>
      <c r="J2040" s="2" t="s">
        <v>4920</v>
      </c>
      <c r="K2040" s="2" t="s">
        <v>82</v>
      </c>
      <c r="L2040" s="2" t="s">
        <v>1767</v>
      </c>
      <c r="M2040" s="2" t="s">
        <v>0</v>
      </c>
      <c r="N2040" s="2" t="s">
        <v>0</v>
      </c>
      <c r="O2040" s="2">
        <v>12</v>
      </c>
      <c r="P2040" s="2">
        <v>16</v>
      </c>
      <c r="Q2040" s="2" t="s">
        <v>352</v>
      </c>
      <c r="R2040" s="2" t="s">
        <v>47</v>
      </c>
      <c r="S2040" s="2">
        <v>0</v>
      </c>
      <c r="T2040" s="2">
        <v>0</v>
      </c>
      <c r="U2040" s="2">
        <v>0</v>
      </c>
      <c r="V2040" s="2">
        <v>0</v>
      </c>
      <c r="W2040" s="2">
        <v>7</v>
      </c>
      <c r="X2040" s="2" t="s">
        <v>523</v>
      </c>
      <c r="Y2040" s="2">
        <v>0</v>
      </c>
      <c r="Z2040" s="2">
        <v>7</v>
      </c>
      <c r="AA2040" s="2">
        <v>1</v>
      </c>
      <c r="AB2040" s="2">
        <v>2</v>
      </c>
      <c r="AC2040" s="2">
        <v>5</v>
      </c>
      <c r="AD2040" s="2">
        <v>4</v>
      </c>
      <c r="AE2040" s="2" t="s">
        <v>0</v>
      </c>
      <c r="AF2040" s="2">
        <v>1</v>
      </c>
      <c r="AG2040" s="2" t="s">
        <v>49</v>
      </c>
    </row>
    <row r="2041" spans="1:33" ht="204" x14ac:dyDescent="0.2">
      <c r="A2041" s="5" t="str">
        <f>HYPERLINK("http://www.patentics.cn/invokexml.do?sf=ShowPatent&amp;spn=US9294989&amp;sv=ada51e0701769bf2414ba20cca5746ac","US9294989")</f>
        <v>US9294989</v>
      </c>
      <c r="B2041" s="3" t="s">
        <v>4525</v>
      </c>
      <c r="C2041" s="3" t="s">
        <v>4526</v>
      </c>
      <c r="D2041" s="3" t="s">
        <v>52</v>
      </c>
      <c r="E2041" s="3" t="s">
        <v>52</v>
      </c>
      <c r="F2041" s="3" t="s">
        <v>4527</v>
      </c>
      <c r="G2041" s="3" t="s">
        <v>4528</v>
      </c>
      <c r="H2041" s="3" t="s">
        <v>4473</v>
      </c>
      <c r="I2041" s="3" t="s">
        <v>4473</v>
      </c>
      <c r="J2041" s="3" t="s">
        <v>696</v>
      </c>
      <c r="K2041" s="3" t="s">
        <v>82</v>
      </c>
      <c r="L2041" s="3" t="s">
        <v>3335</v>
      </c>
      <c r="M2041" s="3" t="s">
        <v>82</v>
      </c>
      <c r="N2041" s="3" t="s">
        <v>807</v>
      </c>
      <c r="O2041" s="3">
        <v>0</v>
      </c>
      <c r="P2041" s="3">
        <v>10</v>
      </c>
      <c r="Q2041" s="3" t="s">
        <v>60</v>
      </c>
      <c r="R2041" s="3" t="s">
        <v>61</v>
      </c>
      <c r="S2041" s="3">
        <v>14</v>
      </c>
      <c r="T2041" s="3">
        <v>0</v>
      </c>
      <c r="U2041" s="3">
        <v>14</v>
      </c>
      <c r="V2041" s="3">
        <v>7</v>
      </c>
      <c r="W2041" s="3">
        <v>0</v>
      </c>
      <c r="X2041" s="3" t="s">
        <v>147</v>
      </c>
      <c r="Y2041" s="3">
        <v>0</v>
      </c>
      <c r="Z2041" s="3">
        <v>0</v>
      </c>
      <c r="AA2041" s="3">
        <v>0</v>
      </c>
      <c r="AB2041" s="3">
        <v>0</v>
      </c>
      <c r="AC2041" s="3">
        <v>7</v>
      </c>
      <c r="AD2041" s="3">
        <v>7</v>
      </c>
      <c r="AE2041" s="3">
        <v>14</v>
      </c>
      <c r="AF2041" s="3" t="s">
        <v>0</v>
      </c>
      <c r="AG2041" s="3" t="s">
        <v>49</v>
      </c>
    </row>
    <row r="2042" spans="1:33" ht="51" x14ac:dyDescent="0.2">
      <c r="A2042" s="4" t="str">
        <f>HYPERLINK("http://www.patentics.cn/invokexml.do?sf=ShowPatent&amp;spn=US20120300884&amp;sv=60cff1cffd6e8b56a2cc22b42ac4c118","US20120300884")</f>
        <v>US20120300884</v>
      </c>
      <c r="B2042" s="2" t="s">
        <v>9257</v>
      </c>
      <c r="C2042" s="2" t="s">
        <v>9258</v>
      </c>
      <c r="D2042" s="2" t="s">
        <v>346</v>
      </c>
      <c r="E2042" s="2" t="s">
        <v>346</v>
      </c>
      <c r="F2042" s="2" t="s">
        <v>9259</v>
      </c>
      <c r="G2042" s="2" t="s">
        <v>9260</v>
      </c>
      <c r="H2042" s="2" t="s">
        <v>4591</v>
      </c>
      <c r="I2042" s="2" t="s">
        <v>4472</v>
      </c>
      <c r="J2042" s="2" t="s">
        <v>6224</v>
      </c>
      <c r="K2042" s="2" t="s">
        <v>84</v>
      </c>
      <c r="L2042" s="2" t="s">
        <v>2079</v>
      </c>
      <c r="M2042" s="2" t="s">
        <v>0</v>
      </c>
      <c r="N2042" s="2" t="s">
        <v>0</v>
      </c>
      <c r="O2042" s="2">
        <v>10</v>
      </c>
      <c r="P2042" s="2">
        <v>18</v>
      </c>
      <c r="Q2042" s="2" t="s">
        <v>352</v>
      </c>
      <c r="R2042" s="2" t="s">
        <v>47</v>
      </c>
      <c r="S2042" s="2">
        <v>0</v>
      </c>
      <c r="T2042" s="2">
        <v>0</v>
      </c>
      <c r="U2042" s="2">
        <v>0</v>
      </c>
      <c r="V2042" s="2">
        <v>0</v>
      </c>
      <c r="W2042" s="2">
        <v>1</v>
      </c>
      <c r="X2042" s="2" t="s">
        <v>1232</v>
      </c>
      <c r="Y2042" s="2">
        <v>0</v>
      </c>
      <c r="Z2042" s="2">
        <v>1</v>
      </c>
      <c r="AA2042" s="2">
        <v>1</v>
      </c>
      <c r="AB2042" s="2">
        <v>1</v>
      </c>
      <c r="AC2042" s="2">
        <v>7</v>
      </c>
      <c r="AD2042" s="2">
        <v>5</v>
      </c>
      <c r="AE2042" s="2" t="s">
        <v>0</v>
      </c>
      <c r="AF2042" s="2">
        <v>1</v>
      </c>
      <c r="AG2042" s="2" t="s">
        <v>49</v>
      </c>
    </row>
    <row r="2043" spans="1:33" ht="38.25" x14ac:dyDescent="0.2">
      <c r="A2043" s="5" t="str">
        <f>HYPERLINK("http://www.patentics.cn/invokexml.do?sf=ShowPatent&amp;spn=US9503285&amp;sv=fc0246e87f4058626ca4be2700f02360","US9503285")</f>
        <v>US9503285</v>
      </c>
      <c r="B2043" s="3" t="s">
        <v>9261</v>
      </c>
      <c r="C2043" s="3" t="s">
        <v>9262</v>
      </c>
      <c r="D2043" s="3" t="s">
        <v>52</v>
      </c>
      <c r="E2043" s="3" t="s">
        <v>52</v>
      </c>
      <c r="F2043" s="3" t="s">
        <v>9263</v>
      </c>
      <c r="G2043" s="3" t="s">
        <v>900</v>
      </c>
      <c r="H2043" s="3" t="s">
        <v>9264</v>
      </c>
      <c r="I2043" s="3" t="s">
        <v>4761</v>
      </c>
      <c r="J2043" s="3" t="s">
        <v>2472</v>
      </c>
      <c r="K2043" s="3" t="s">
        <v>82</v>
      </c>
      <c r="L2043" s="3" t="s">
        <v>516</v>
      </c>
      <c r="M2043" s="3" t="s">
        <v>58</v>
      </c>
      <c r="N2043" s="3" t="s">
        <v>9265</v>
      </c>
      <c r="O2043" s="3">
        <v>0</v>
      </c>
      <c r="P2043" s="3">
        <v>19</v>
      </c>
      <c r="Q2043" s="3" t="s">
        <v>60</v>
      </c>
      <c r="R2043" s="3" t="s">
        <v>61</v>
      </c>
      <c r="S2043" s="3">
        <v>12</v>
      </c>
      <c r="T2043" s="3">
        <v>7</v>
      </c>
      <c r="U2043" s="3">
        <v>5</v>
      </c>
      <c r="V2043" s="3">
        <v>5</v>
      </c>
      <c r="W2043" s="3">
        <v>0</v>
      </c>
      <c r="X2043" s="3" t="s">
        <v>147</v>
      </c>
      <c r="Y2043" s="3">
        <v>0</v>
      </c>
      <c r="Z2043" s="3">
        <v>0</v>
      </c>
      <c r="AA2043" s="3">
        <v>0</v>
      </c>
      <c r="AB2043" s="3">
        <v>0</v>
      </c>
      <c r="AC2043" s="3">
        <v>11</v>
      </c>
      <c r="AD2043" s="3">
        <v>6</v>
      </c>
      <c r="AE2043" s="3">
        <v>14</v>
      </c>
      <c r="AF2043" s="3" t="s">
        <v>0</v>
      </c>
      <c r="AG2043" s="3" t="s">
        <v>49</v>
      </c>
    </row>
    <row r="2044" spans="1:33" ht="76.5" x14ac:dyDescent="0.2">
      <c r="A2044" s="4" t="str">
        <f>HYPERLINK("http://www.patentics.cn/invokexml.do?sf=ShowPatent&amp;spn=US20120300868&amp;sv=71dda8d4d21d0b30eca35587a74aa36b","US20120300868")</f>
        <v>US20120300868</v>
      </c>
      <c r="B2044" s="2" t="s">
        <v>9266</v>
      </c>
      <c r="C2044" s="2" t="s">
        <v>9267</v>
      </c>
      <c r="D2044" s="2" t="s">
        <v>346</v>
      </c>
      <c r="E2044" s="2" t="s">
        <v>346</v>
      </c>
      <c r="F2044" s="2" t="s">
        <v>9268</v>
      </c>
      <c r="G2044" s="2" t="s">
        <v>9269</v>
      </c>
      <c r="H2044" s="2" t="s">
        <v>1904</v>
      </c>
      <c r="I2044" s="2" t="s">
        <v>687</v>
      </c>
      <c r="J2044" s="2" t="s">
        <v>6224</v>
      </c>
      <c r="K2044" s="2" t="s">
        <v>84</v>
      </c>
      <c r="L2044" s="2" t="s">
        <v>343</v>
      </c>
      <c r="M2044" s="2" t="s">
        <v>0</v>
      </c>
      <c r="N2044" s="2" t="s">
        <v>0</v>
      </c>
      <c r="O2044" s="2">
        <v>15</v>
      </c>
      <c r="P2044" s="2">
        <v>21</v>
      </c>
      <c r="Q2044" s="2" t="s">
        <v>352</v>
      </c>
      <c r="R2044" s="2" t="s">
        <v>47</v>
      </c>
      <c r="S2044" s="2">
        <v>0</v>
      </c>
      <c r="T2044" s="2">
        <v>0</v>
      </c>
      <c r="U2044" s="2">
        <v>0</v>
      </c>
      <c r="V2044" s="2">
        <v>0</v>
      </c>
      <c r="W2044" s="2">
        <v>2</v>
      </c>
      <c r="X2044" s="2" t="s">
        <v>1351</v>
      </c>
      <c r="Y2044" s="2">
        <v>0</v>
      </c>
      <c r="Z2044" s="2">
        <v>2</v>
      </c>
      <c r="AA2044" s="2">
        <v>2</v>
      </c>
      <c r="AB2044" s="2">
        <v>1</v>
      </c>
      <c r="AC2044" s="2">
        <v>4</v>
      </c>
      <c r="AD2044" s="2">
        <v>4</v>
      </c>
      <c r="AE2044" s="2" t="s">
        <v>0</v>
      </c>
      <c r="AF2044" s="2">
        <v>1</v>
      </c>
      <c r="AG2044" s="2" t="s">
        <v>49</v>
      </c>
    </row>
    <row r="2045" spans="1:33" ht="51" x14ac:dyDescent="0.2">
      <c r="A2045" s="5" t="str">
        <f>HYPERLINK("http://www.patentics.cn/invokexml.do?sf=ShowPatent&amp;spn=US9203552&amp;sv=3d109407f7250a5c3d20216e3c21fe86","US9203552")</f>
        <v>US9203552</v>
      </c>
      <c r="B2045" s="3" t="s">
        <v>7632</v>
      </c>
      <c r="C2045" s="3" t="s">
        <v>7633</v>
      </c>
      <c r="D2045" s="3" t="s">
        <v>52</v>
      </c>
      <c r="E2045" s="3" t="s">
        <v>52</v>
      </c>
      <c r="F2045" s="3" t="s">
        <v>7634</v>
      </c>
      <c r="G2045" s="3" t="s">
        <v>2822</v>
      </c>
      <c r="H2045" s="3" t="s">
        <v>1183</v>
      </c>
      <c r="I2045" s="3" t="s">
        <v>4622</v>
      </c>
      <c r="J2045" s="3" t="s">
        <v>1362</v>
      </c>
      <c r="K2045" s="3" t="s">
        <v>84</v>
      </c>
      <c r="L2045" s="3" t="s">
        <v>343</v>
      </c>
      <c r="M2045" s="3" t="s">
        <v>58</v>
      </c>
      <c r="N2045" s="3" t="s">
        <v>1907</v>
      </c>
      <c r="O2045" s="3">
        <v>0</v>
      </c>
      <c r="P2045" s="3">
        <v>15</v>
      </c>
      <c r="Q2045" s="3" t="s">
        <v>60</v>
      </c>
      <c r="R2045" s="3" t="s">
        <v>61</v>
      </c>
      <c r="S2045" s="3">
        <v>19</v>
      </c>
      <c r="T2045" s="3">
        <v>0</v>
      </c>
      <c r="U2045" s="3">
        <v>19</v>
      </c>
      <c r="V2045" s="3">
        <v>8</v>
      </c>
      <c r="W2045" s="3">
        <v>0</v>
      </c>
      <c r="X2045" s="3" t="s">
        <v>147</v>
      </c>
      <c r="Y2045" s="3">
        <v>0</v>
      </c>
      <c r="Z2045" s="3">
        <v>0</v>
      </c>
      <c r="AA2045" s="3">
        <v>0</v>
      </c>
      <c r="AB2045" s="3">
        <v>0</v>
      </c>
      <c r="AC2045" s="3">
        <v>7</v>
      </c>
      <c r="AD2045" s="3">
        <v>6</v>
      </c>
      <c r="AE2045" s="3">
        <v>14</v>
      </c>
      <c r="AF2045" s="3" t="s">
        <v>0</v>
      </c>
      <c r="AG2045" s="3" t="s">
        <v>49</v>
      </c>
    </row>
    <row r="2046" spans="1:33" ht="76.5" x14ac:dyDescent="0.2">
      <c r="A2046" s="4" t="str">
        <f>HYPERLINK("http://www.patentics.cn/invokexml.do?sf=ShowPatent&amp;spn=US20120300720&amp;sv=993297df589014be69cecfe15c649bbf","US20120300720")</f>
        <v>US20120300720</v>
      </c>
      <c r="B2046" s="2" t="s">
        <v>9270</v>
      </c>
      <c r="C2046" s="2" t="s">
        <v>9271</v>
      </c>
      <c r="D2046" s="2" t="s">
        <v>346</v>
      </c>
      <c r="E2046" s="2" t="s">
        <v>346</v>
      </c>
      <c r="F2046" s="2" t="s">
        <v>9272</v>
      </c>
      <c r="G2046" s="2" t="s">
        <v>9273</v>
      </c>
      <c r="H2046" s="2" t="s">
        <v>1513</v>
      </c>
      <c r="I2046" s="2" t="s">
        <v>4596</v>
      </c>
      <c r="J2046" s="2" t="s">
        <v>6224</v>
      </c>
      <c r="K2046" s="2" t="s">
        <v>82</v>
      </c>
      <c r="L2046" s="2" t="s">
        <v>3858</v>
      </c>
      <c r="M2046" s="2" t="s">
        <v>0</v>
      </c>
      <c r="N2046" s="2" t="s">
        <v>0</v>
      </c>
      <c r="O2046" s="2">
        <v>18</v>
      </c>
      <c r="P2046" s="2">
        <v>19</v>
      </c>
      <c r="Q2046" s="2" t="s">
        <v>352</v>
      </c>
      <c r="R2046" s="2" t="s">
        <v>47</v>
      </c>
      <c r="S2046" s="2">
        <v>0</v>
      </c>
      <c r="T2046" s="2">
        <v>0</v>
      </c>
      <c r="U2046" s="2">
        <v>0</v>
      </c>
      <c r="V2046" s="2">
        <v>0</v>
      </c>
      <c r="W2046" s="2">
        <v>10</v>
      </c>
      <c r="X2046" s="2" t="s">
        <v>1148</v>
      </c>
      <c r="Y2046" s="2">
        <v>0</v>
      </c>
      <c r="Z2046" s="2">
        <v>10</v>
      </c>
      <c r="AA2046" s="2">
        <v>2</v>
      </c>
      <c r="AB2046" s="2">
        <v>2</v>
      </c>
      <c r="AC2046" s="2">
        <v>9</v>
      </c>
      <c r="AD2046" s="2">
        <v>8</v>
      </c>
      <c r="AE2046" s="2" t="s">
        <v>0</v>
      </c>
      <c r="AF2046" s="2">
        <v>1</v>
      </c>
      <c r="AG2046" s="2" t="s">
        <v>2231</v>
      </c>
    </row>
    <row r="2047" spans="1:33" ht="102" x14ac:dyDescent="0.2">
      <c r="A2047" s="5" t="str">
        <f>HYPERLINK("http://www.patentics.cn/invokexml.do?sf=ShowPatent&amp;spn=US9264930&amp;sv=854743349c5361c33a99c80bafb42532","US9264930")</f>
        <v>US9264930</v>
      </c>
      <c r="B2047" s="3" t="s">
        <v>6441</v>
      </c>
      <c r="C2047" s="3" t="s">
        <v>6442</v>
      </c>
      <c r="D2047" s="3" t="s">
        <v>52</v>
      </c>
      <c r="E2047" s="3" t="s">
        <v>52</v>
      </c>
      <c r="F2047" s="3" t="s">
        <v>6443</v>
      </c>
      <c r="G2047" s="3" t="s">
        <v>6444</v>
      </c>
      <c r="H2047" s="3" t="s">
        <v>6445</v>
      </c>
      <c r="I2047" s="3" t="s">
        <v>93</v>
      </c>
      <c r="J2047" s="3" t="s">
        <v>664</v>
      </c>
      <c r="K2047" s="3" t="s">
        <v>82</v>
      </c>
      <c r="L2047" s="3" t="s">
        <v>2215</v>
      </c>
      <c r="M2047" s="3" t="s">
        <v>82</v>
      </c>
      <c r="N2047" s="3" t="s">
        <v>799</v>
      </c>
      <c r="O2047" s="3">
        <v>0</v>
      </c>
      <c r="P2047" s="3">
        <v>17</v>
      </c>
      <c r="Q2047" s="3" t="s">
        <v>60</v>
      </c>
      <c r="R2047" s="3" t="s">
        <v>61</v>
      </c>
      <c r="S2047" s="3">
        <v>16</v>
      </c>
      <c r="T2047" s="3">
        <v>0</v>
      </c>
      <c r="U2047" s="3">
        <v>16</v>
      </c>
      <c r="V2047" s="3">
        <v>7</v>
      </c>
      <c r="W2047" s="3">
        <v>6</v>
      </c>
      <c r="X2047" s="3" t="s">
        <v>147</v>
      </c>
      <c r="Y2047" s="3">
        <v>0</v>
      </c>
      <c r="Z2047" s="3">
        <v>6</v>
      </c>
      <c r="AA2047" s="3">
        <v>0</v>
      </c>
      <c r="AB2047" s="3">
        <v>1</v>
      </c>
      <c r="AC2047" s="3">
        <v>8</v>
      </c>
      <c r="AD2047" s="3">
        <v>6</v>
      </c>
      <c r="AE2047" s="3">
        <v>14</v>
      </c>
      <c r="AF2047" s="3" t="s">
        <v>0</v>
      </c>
      <c r="AG2047" s="3" t="s">
        <v>49</v>
      </c>
    </row>
    <row r="2048" spans="1:33" ht="51" x14ac:dyDescent="0.2">
      <c r="A2048" s="4" t="str">
        <f>HYPERLINK("http://www.patentics.cn/invokexml.do?sf=ShowPatent&amp;spn=US20120281610&amp;sv=e953fe290f00b82968c9d9be35eb61ba","US20120281610")</f>
        <v>US20120281610</v>
      </c>
      <c r="B2048" s="2" t="s">
        <v>9274</v>
      </c>
      <c r="C2048" s="2" t="s">
        <v>9275</v>
      </c>
      <c r="D2048" s="2" t="s">
        <v>346</v>
      </c>
      <c r="E2048" s="2" t="s">
        <v>346</v>
      </c>
      <c r="F2048" s="2" t="s">
        <v>9276</v>
      </c>
      <c r="G2048" s="2" t="s">
        <v>9277</v>
      </c>
      <c r="H2048" s="2" t="s">
        <v>4572</v>
      </c>
      <c r="I2048" s="2" t="s">
        <v>6778</v>
      </c>
      <c r="J2048" s="2" t="s">
        <v>4426</v>
      </c>
      <c r="K2048" s="2" t="s">
        <v>1246</v>
      </c>
      <c r="L2048" s="2" t="s">
        <v>1247</v>
      </c>
      <c r="M2048" s="2" t="s">
        <v>0</v>
      </c>
      <c r="N2048" s="2" t="s">
        <v>0</v>
      </c>
      <c r="O2048" s="2">
        <v>16</v>
      </c>
      <c r="P2048" s="2">
        <v>29</v>
      </c>
      <c r="Q2048" s="2" t="s">
        <v>352</v>
      </c>
      <c r="R2048" s="2" t="s">
        <v>47</v>
      </c>
      <c r="S2048" s="2">
        <v>0</v>
      </c>
      <c r="T2048" s="2">
        <v>0</v>
      </c>
      <c r="U2048" s="2">
        <v>0</v>
      </c>
      <c r="V2048" s="2">
        <v>0</v>
      </c>
      <c r="W2048" s="2">
        <v>2</v>
      </c>
      <c r="X2048" s="2" t="s">
        <v>1807</v>
      </c>
      <c r="Y2048" s="2">
        <v>0</v>
      </c>
      <c r="Z2048" s="2">
        <v>2</v>
      </c>
      <c r="AA2048" s="2">
        <v>2</v>
      </c>
      <c r="AB2048" s="2">
        <v>1</v>
      </c>
      <c r="AC2048" s="2">
        <v>3</v>
      </c>
      <c r="AD2048" s="2">
        <v>4</v>
      </c>
      <c r="AE2048" s="2" t="s">
        <v>0</v>
      </c>
      <c r="AF2048" s="2">
        <v>1</v>
      </c>
      <c r="AG2048" s="2" t="s">
        <v>2231</v>
      </c>
    </row>
    <row r="2049" spans="1:33" ht="127.5" x14ac:dyDescent="0.2">
      <c r="A2049" s="5" t="str">
        <f>HYPERLINK("http://www.patentics.cn/invokexml.do?sf=ShowPatent&amp;spn=US9173192&amp;sv=70bdbf2bab09968acda5e74ec0d0df3d","US9173192")</f>
        <v>US9173192</v>
      </c>
      <c r="B2049" s="3" t="s">
        <v>6779</v>
      </c>
      <c r="C2049" s="3" t="s">
        <v>6780</v>
      </c>
      <c r="D2049" s="3" t="s">
        <v>52</v>
      </c>
      <c r="E2049" s="3" t="s">
        <v>52</v>
      </c>
      <c r="F2049" s="3" t="s">
        <v>6781</v>
      </c>
      <c r="G2049" s="3" t="s">
        <v>2752</v>
      </c>
      <c r="H2049" s="3" t="s">
        <v>1390</v>
      </c>
      <c r="I2049" s="3" t="s">
        <v>6648</v>
      </c>
      <c r="J2049" s="3" t="s">
        <v>263</v>
      </c>
      <c r="K2049" s="3" t="s">
        <v>82</v>
      </c>
      <c r="L2049" s="3" t="s">
        <v>2457</v>
      </c>
      <c r="M2049" s="3" t="s">
        <v>82</v>
      </c>
      <c r="N2049" s="3" t="s">
        <v>1420</v>
      </c>
      <c r="O2049" s="3">
        <v>0</v>
      </c>
      <c r="P2049" s="3">
        <v>18</v>
      </c>
      <c r="Q2049" s="3" t="s">
        <v>60</v>
      </c>
      <c r="R2049" s="3" t="s">
        <v>61</v>
      </c>
      <c r="S2049" s="3">
        <v>22</v>
      </c>
      <c r="T2049" s="3">
        <v>0</v>
      </c>
      <c r="U2049" s="3">
        <v>22</v>
      </c>
      <c r="V2049" s="3">
        <v>13</v>
      </c>
      <c r="W2049" s="3">
        <v>0</v>
      </c>
      <c r="X2049" s="3" t="s">
        <v>147</v>
      </c>
      <c r="Y2049" s="3">
        <v>0</v>
      </c>
      <c r="Z2049" s="3">
        <v>0</v>
      </c>
      <c r="AA2049" s="3">
        <v>0</v>
      </c>
      <c r="AB2049" s="3">
        <v>0</v>
      </c>
      <c r="AC2049" s="3">
        <v>12</v>
      </c>
      <c r="AD2049" s="3">
        <v>5</v>
      </c>
      <c r="AE2049" s="3">
        <v>14</v>
      </c>
      <c r="AF2049" s="3" t="s">
        <v>0</v>
      </c>
      <c r="AG2049" s="3" t="s">
        <v>49</v>
      </c>
    </row>
    <row r="2050" spans="1:33" ht="38.25" x14ac:dyDescent="0.2">
      <c r="A2050" s="4" t="str">
        <f>HYPERLINK("http://www.patentics.cn/invokexml.do?sf=ShowPatent&amp;spn=US20120272303&amp;sv=7e8f7b428abac214acc613263bb32d21","US20120272303")</f>
        <v>US20120272303</v>
      </c>
      <c r="B2050" s="2" t="s">
        <v>9278</v>
      </c>
      <c r="C2050" s="2" t="s">
        <v>9279</v>
      </c>
      <c r="D2050" s="2" t="s">
        <v>346</v>
      </c>
      <c r="E2050" s="2" t="s">
        <v>346</v>
      </c>
      <c r="F2050" s="2" t="s">
        <v>9280</v>
      </c>
      <c r="G2050" s="2" t="s">
        <v>9280</v>
      </c>
      <c r="H2050" s="2" t="s">
        <v>6135</v>
      </c>
      <c r="I2050" s="2" t="s">
        <v>3544</v>
      </c>
      <c r="J2050" s="2" t="s">
        <v>3155</v>
      </c>
      <c r="K2050" s="2" t="s">
        <v>555</v>
      </c>
      <c r="L2050" s="2" t="s">
        <v>1797</v>
      </c>
      <c r="M2050" s="2" t="s">
        <v>0</v>
      </c>
      <c r="N2050" s="2" t="s">
        <v>0</v>
      </c>
      <c r="O2050" s="2">
        <v>16</v>
      </c>
      <c r="P2050" s="2">
        <v>28</v>
      </c>
      <c r="Q2050" s="2" t="s">
        <v>352</v>
      </c>
      <c r="R2050" s="2" t="s">
        <v>47</v>
      </c>
      <c r="S2050" s="2">
        <v>0</v>
      </c>
      <c r="T2050" s="2">
        <v>0</v>
      </c>
      <c r="U2050" s="2">
        <v>0</v>
      </c>
      <c r="V2050" s="2">
        <v>0</v>
      </c>
      <c r="W2050" s="2">
        <v>2</v>
      </c>
      <c r="X2050" s="2" t="s">
        <v>606</v>
      </c>
      <c r="Y2050" s="2">
        <v>0</v>
      </c>
      <c r="Z2050" s="2">
        <v>2</v>
      </c>
      <c r="AA2050" s="2">
        <v>2</v>
      </c>
      <c r="AB2050" s="2">
        <v>2</v>
      </c>
      <c r="AC2050" s="2">
        <v>6</v>
      </c>
      <c r="AD2050" s="2">
        <v>4</v>
      </c>
      <c r="AE2050" s="2" t="s">
        <v>0</v>
      </c>
      <c r="AF2050" s="2">
        <v>1</v>
      </c>
      <c r="AG2050" s="2" t="s">
        <v>49</v>
      </c>
    </row>
    <row r="2051" spans="1:33" x14ac:dyDescent="0.2">
      <c r="A2051" s="5" t="str">
        <f>HYPERLINK("http://www.patentics.cn/invokexml.do?sf=ShowPatent&amp;spn=US9607178&amp;sv=b0b0df9fb8d61abf280eb8543f0b89c3","US9607178")</f>
        <v>US9607178</v>
      </c>
      <c r="B2051" s="3" t="s">
        <v>9281</v>
      </c>
      <c r="C2051" s="3" t="s">
        <v>9282</v>
      </c>
      <c r="D2051" s="3" t="s">
        <v>52</v>
      </c>
      <c r="E2051" s="3" t="s">
        <v>52</v>
      </c>
      <c r="F2051" s="3" t="s">
        <v>9283</v>
      </c>
      <c r="G2051" s="3" t="s">
        <v>9283</v>
      </c>
      <c r="H2051" s="3" t="s">
        <v>0</v>
      </c>
      <c r="I2051" s="3" t="s">
        <v>2733</v>
      </c>
      <c r="J2051" s="3" t="s">
        <v>3892</v>
      </c>
      <c r="K2051" s="3" t="s">
        <v>555</v>
      </c>
      <c r="L2051" s="3" t="s">
        <v>9284</v>
      </c>
      <c r="M2051" s="3" t="s">
        <v>555</v>
      </c>
      <c r="N2051" s="3" t="s">
        <v>9285</v>
      </c>
      <c r="O2051" s="3">
        <v>0</v>
      </c>
      <c r="P2051" s="3">
        <v>10</v>
      </c>
      <c r="Q2051" s="3" t="s">
        <v>60</v>
      </c>
      <c r="R2051" s="3" t="s">
        <v>61</v>
      </c>
      <c r="S2051" s="3">
        <v>14</v>
      </c>
      <c r="T2051" s="3">
        <v>0</v>
      </c>
      <c r="U2051" s="3">
        <v>14</v>
      </c>
      <c r="V2051" s="3">
        <v>11</v>
      </c>
      <c r="W2051" s="3">
        <v>0</v>
      </c>
      <c r="X2051" s="3" t="s">
        <v>147</v>
      </c>
      <c r="Y2051" s="3">
        <v>0</v>
      </c>
      <c r="Z2051" s="3">
        <v>0</v>
      </c>
      <c r="AA2051" s="3">
        <v>0</v>
      </c>
      <c r="AB2051" s="3">
        <v>0</v>
      </c>
      <c r="AC2051" s="3">
        <v>0</v>
      </c>
      <c r="AD2051" s="3">
        <v>0</v>
      </c>
      <c r="AE2051" s="3">
        <v>14</v>
      </c>
      <c r="AF2051" s="3" t="s">
        <v>0</v>
      </c>
      <c r="AG2051" s="3" t="s">
        <v>49</v>
      </c>
    </row>
    <row r="2052" spans="1:33" ht="38.25" x14ac:dyDescent="0.2">
      <c r="A2052" s="4" t="str">
        <f>HYPERLINK("http://www.patentics.cn/invokexml.do?sf=ShowPatent&amp;spn=US20120270552&amp;sv=9ce8edb08a74b94f425f3dda8190ad8b","US20120270552")</f>
        <v>US20120270552</v>
      </c>
      <c r="B2052" s="2" t="s">
        <v>9286</v>
      </c>
      <c r="C2052" s="2" t="s">
        <v>9287</v>
      </c>
      <c r="D2052" s="2" t="s">
        <v>346</v>
      </c>
      <c r="E2052" s="2" t="s">
        <v>346</v>
      </c>
      <c r="F2052" s="2" t="s">
        <v>9288</v>
      </c>
      <c r="G2052" s="2" t="s">
        <v>6394</v>
      </c>
      <c r="H2052" s="2" t="s">
        <v>6809</v>
      </c>
      <c r="I2052" s="2" t="s">
        <v>5507</v>
      </c>
      <c r="J2052" s="2" t="s">
        <v>3155</v>
      </c>
      <c r="K2052" s="2" t="s">
        <v>82</v>
      </c>
      <c r="L2052" s="2" t="s">
        <v>177</v>
      </c>
      <c r="M2052" s="2" t="s">
        <v>0</v>
      </c>
      <c r="N2052" s="2" t="s">
        <v>0</v>
      </c>
      <c r="O2052" s="2">
        <v>10</v>
      </c>
      <c r="P2052" s="2">
        <v>22</v>
      </c>
      <c r="Q2052" s="2" t="s">
        <v>352</v>
      </c>
      <c r="R2052" s="2" t="s">
        <v>47</v>
      </c>
      <c r="S2052" s="2">
        <v>0</v>
      </c>
      <c r="T2052" s="2">
        <v>0</v>
      </c>
      <c r="U2052" s="2">
        <v>0</v>
      </c>
      <c r="V2052" s="2">
        <v>0</v>
      </c>
      <c r="W2052" s="2">
        <v>12</v>
      </c>
      <c r="X2052" s="2" t="s">
        <v>9289</v>
      </c>
      <c r="Y2052" s="2">
        <v>0</v>
      </c>
      <c r="Z2052" s="2">
        <v>12</v>
      </c>
      <c r="AA2052" s="2">
        <v>5</v>
      </c>
      <c r="AB2052" s="2">
        <v>2</v>
      </c>
      <c r="AC2052" s="2">
        <v>5</v>
      </c>
      <c r="AD2052" s="2">
        <v>4</v>
      </c>
      <c r="AE2052" s="2" t="s">
        <v>0</v>
      </c>
      <c r="AF2052" s="2">
        <v>1</v>
      </c>
      <c r="AG2052" s="2" t="s">
        <v>49</v>
      </c>
    </row>
    <row r="2053" spans="1:33" ht="331.5" x14ac:dyDescent="0.2">
      <c r="A2053" s="5" t="str">
        <f>HYPERLINK("http://www.patentics.cn/invokexml.do?sf=ShowPatent&amp;spn=US9456337&amp;sv=dd138e2211955ef09fbc1839d1db9336","US9456337")</f>
        <v>US9456337</v>
      </c>
      <c r="B2053" s="3" t="s">
        <v>6810</v>
      </c>
      <c r="C2053" s="3" t="s">
        <v>6811</v>
      </c>
      <c r="D2053" s="3" t="s">
        <v>52</v>
      </c>
      <c r="E2053" s="3" t="s">
        <v>52</v>
      </c>
      <c r="F2053" s="3" t="s">
        <v>6812</v>
      </c>
      <c r="G2053" s="3" t="s">
        <v>4528</v>
      </c>
      <c r="H2053" s="3" t="s">
        <v>0</v>
      </c>
      <c r="I2053" s="3" t="s">
        <v>3387</v>
      </c>
      <c r="J2053" s="3" t="s">
        <v>721</v>
      </c>
      <c r="K2053" s="3" t="s">
        <v>270</v>
      </c>
      <c r="L2053" s="3" t="s">
        <v>6554</v>
      </c>
      <c r="M2053" s="3" t="s">
        <v>82</v>
      </c>
      <c r="N2053" s="3" t="s">
        <v>6813</v>
      </c>
      <c r="O2053" s="3">
        <v>0</v>
      </c>
      <c r="P2053" s="3">
        <v>19</v>
      </c>
      <c r="Q2053" s="3" t="s">
        <v>60</v>
      </c>
      <c r="R2053" s="3" t="s">
        <v>61</v>
      </c>
      <c r="S2053" s="3">
        <v>26</v>
      </c>
      <c r="T2053" s="3">
        <v>4</v>
      </c>
      <c r="U2053" s="3">
        <v>22</v>
      </c>
      <c r="V2053" s="3">
        <v>10</v>
      </c>
      <c r="W2053" s="3">
        <v>0</v>
      </c>
      <c r="X2053" s="3" t="s">
        <v>147</v>
      </c>
      <c r="Y2053" s="3">
        <v>0</v>
      </c>
      <c r="Z2053" s="3">
        <v>0</v>
      </c>
      <c r="AA2053" s="3">
        <v>0</v>
      </c>
      <c r="AB2053" s="3">
        <v>0</v>
      </c>
      <c r="AC2053" s="3">
        <v>0</v>
      </c>
      <c r="AD2053" s="3">
        <v>0</v>
      </c>
      <c r="AE2053" s="3">
        <v>14</v>
      </c>
      <c r="AF2053" s="3" t="s">
        <v>0</v>
      </c>
      <c r="AG2053" s="3" t="s">
        <v>49</v>
      </c>
    </row>
    <row r="2054" spans="1:33" ht="38.25" x14ac:dyDescent="0.2">
      <c r="A2054" s="4" t="str">
        <f>HYPERLINK("http://www.patentics.cn/invokexml.do?sf=ShowPatent&amp;spn=US20120263150&amp;sv=93f9a7d9301c21cc00d0c96635fcd59e","US20120263150")</f>
        <v>US20120263150</v>
      </c>
      <c r="B2054" s="2" t="s">
        <v>9290</v>
      </c>
      <c r="C2054" s="2" t="s">
        <v>9291</v>
      </c>
      <c r="D2054" s="2" t="s">
        <v>346</v>
      </c>
      <c r="E2054" s="2" t="s">
        <v>346</v>
      </c>
      <c r="F2054" s="2" t="s">
        <v>9292</v>
      </c>
      <c r="G2054" s="2" t="s">
        <v>9293</v>
      </c>
      <c r="H2054" s="2" t="s">
        <v>6778</v>
      </c>
      <c r="I2054" s="2" t="s">
        <v>1747</v>
      </c>
      <c r="J2054" s="2" t="s">
        <v>3176</v>
      </c>
      <c r="K2054" s="2" t="s">
        <v>82</v>
      </c>
      <c r="L2054" s="2" t="s">
        <v>244</v>
      </c>
      <c r="M2054" s="2" t="s">
        <v>0</v>
      </c>
      <c r="N2054" s="2" t="s">
        <v>0</v>
      </c>
      <c r="O2054" s="2">
        <v>10</v>
      </c>
      <c r="P2054" s="2">
        <v>14</v>
      </c>
      <c r="Q2054" s="2" t="s">
        <v>352</v>
      </c>
      <c r="R2054" s="2" t="s">
        <v>47</v>
      </c>
      <c r="S2054" s="2">
        <v>0</v>
      </c>
      <c r="T2054" s="2">
        <v>0</v>
      </c>
      <c r="U2054" s="2">
        <v>0</v>
      </c>
      <c r="V2054" s="2">
        <v>0</v>
      </c>
      <c r="W2054" s="2">
        <v>1</v>
      </c>
      <c r="X2054" s="2" t="s">
        <v>670</v>
      </c>
      <c r="Y2054" s="2">
        <v>0</v>
      </c>
      <c r="Z2054" s="2">
        <v>1</v>
      </c>
      <c r="AA2054" s="2">
        <v>1</v>
      </c>
      <c r="AB2054" s="2">
        <v>1</v>
      </c>
      <c r="AC2054" s="2">
        <v>5</v>
      </c>
      <c r="AD2054" s="2">
        <v>4</v>
      </c>
      <c r="AE2054" s="2" t="s">
        <v>0</v>
      </c>
      <c r="AF2054" s="2">
        <v>1</v>
      </c>
      <c r="AG2054" s="2" t="s">
        <v>49</v>
      </c>
    </row>
    <row r="2055" spans="1:33" ht="127.5" x14ac:dyDescent="0.2">
      <c r="A2055" s="5" t="str">
        <f>HYPERLINK("http://www.patentics.cn/invokexml.do?sf=ShowPatent&amp;spn=US9112672&amp;sv=f5bd2c9d351726a1de88123d378cea41","US9112672")</f>
        <v>US9112672</v>
      </c>
      <c r="B2055" s="3" t="s">
        <v>9294</v>
      </c>
      <c r="C2055" s="3" t="s">
        <v>9295</v>
      </c>
      <c r="D2055" s="3" t="s">
        <v>52</v>
      </c>
      <c r="E2055" s="3" t="s">
        <v>52</v>
      </c>
      <c r="F2055" s="3" t="s">
        <v>9296</v>
      </c>
      <c r="G2055" s="3" t="s">
        <v>9297</v>
      </c>
      <c r="H2055" s="3" t="s">
        <v>5079</v>
      </c>
      <c r="I2055" s="3" t="s">
        <v>4933</v>
      </c>
      <c r="J2055" s="3" t="s">
        <v>2440</v>
      </c>
      <c r="K2055" s="3" t="s">
        <v>43</v>
      </c>
      <c r="L2055" s="3" t="s">
        <v>57</v>
      </c>
      <c r="M2055" s="3" t="s">
        <v>0</v>
      </c>
      <c r="N2055" s="3" t="s">
        <v>0</v>
      </c>
      <c r="O2055" s="3">
        <v>0</v>
      </c>
      <c r="P2055" s="3">
        <v>11</v>
      </c>
      <c r="Q2055" s="3" t="s">
        <v>60</v>
      </c>
      <c r="R2055" s="3" t="s">
        <v>61</v>
      </c>
      <c r="S2055" s="3">
        <v>7</v>
      </c>
      <c r="T2055" s="3">
        <v>4</v>
      </c>
      <c r="U2055" s="3">
        <v>3</v>
      </c>
      <c r="V2055" s="3">
        <v>4</v>
      </c>
      <c r="W2055" s="3">
        <v>0</v>
      </c>
      <c r="X2055" s="3" t="s">
        <v>147</v>
      </c>
      <c r="Y2055" s="3">
        <v>0</v>
      </c>
      <c r="Z2055" s="3">
        <v>0</v>
      </c>
      <c r="AA2055" s="3">
        <v>0</v>
      </c>
      <c r="AB2055" s="3">
        <v>0</v>
      </c>
      <c r="AC2055" s="3">
        <v>1</v>
      </c>
      <c r="AD2055" s="3">
        <v>1</v>
      </c>
      <c r="AE2055" s="3">
        <v>14</v>
      </c>
      <c r="AF2055" s="3" t="s">
        <v>0</v>
      </c>
      <c r="AG2055" s="3" t="s">
        <v>49</v>
      </c>
    </row>
    <row r="2056" spans="1:33" ht="25.5" x14ac:dyDescent="0.2">
      <c r="A2056" s="4" t="str">
        <f>HYPERLINK("http://www.patentics.cn/invokexml.do?sf=ShowPatent&amp;spn=US20120263072&amp;sv=1412e9290c6acb0850adec539da5b46b","US20120263072")</f>
        <v>US20120263072</v>
      </c>
      <c r="B2056" s="2" t="s">
        <v>9298</v>
      </c>
      <c r="C2056" s="2" t="s">
        <v>9299</v>
      </c>
      <c r="D2056" s="2" t="s">
        <v>346</v>
      </c>
      <c r="E2056" s="2" t="s">
        <v>346</v>
      </c>
      <c r="F2056" s="2" t="s">
        <v>9300</v>
      </c>
      <c r="G2056" s="2" t="s">
        <v>9300</v>
      </c>
      <c r="H2056" s="2" t="s">
        <v>501</v>
      </c>
      <c r="I2056" s="2" t="s">
        <v>7071</v>
      </c>
      <c r="J2056" s="2" t="s">
        <v>3176</v>
      </c>
      <c r="K2056" s="2" t="s">
        <v>58</v>
      </c>
      <c r="L2056" s="2" t="s">
        <v>763</v>
      </c>
      <c r="M2056" s="2" t="s">
        <v>0</v>
      </c>
      <c r="N2056" s="2" t="s">
        <v>0</v>
      </c>
      <c r="O2056" s="2">
        <v>10</v>
      </c>
      <c r="P2056" s="2">
        <v>20</v>
      </c>
      <c r="Q2056" s="2" t="s">
        <v>352</v>
      </c>
      <c r="R2056" s="2" t="s">
        <v>47</v>
      </c>
      <c r="S2056" s="2">
        <v>0</v>
      </c>
      <c r="T2056" s="2">
        <v>0</v>
      </c>
      <c r="U2056" s="2">
        <v>0</v>
      </c>
      <c r="V2056" s="2">
        <v>0</v>
      </c>
      <c r="W2056" s="2">
        <v>4</v>
      </c>
      <c r="X2056" s="2" t="s">
        <v>7224</v>
      </c>
      <c r="Y2056" s="2">
        <v>0</v>
      </c>
      <c r="Z2056" s="2">
        <v>4</v>
      </c>
      <c r="AA2056" s="2">
        <v>4</v>
      </c>
      <c r="AB2056" s="2">
        <v>2</v>
      </c>
      <c r="AC2056" s="2">
        <v>5</v>
      </c>
      <c r="AD2056" s="2">
        <v>4</v>
      </c>
      <c r="AE2056" s="2" t="s">
        <v>0</v>
      </c>
      <c r="AF2056" s="2">
        <v>1</v>
      </c>
      <c r="AG2056" s="2" t="s">
        <v>2231</v>
      </c>
    </row>
    <row r="2057" spans="1:33" ht="89.25" x14ac:dyDescent="0.2">
      <c r="A2057" s="5" t="str">
        <f>HYPERLINK("http://www.patentics.cn/invokexml.do?sf=ShowPatent&amp;spn=US9489506&amp;sv=2a8fee3a427831f4385a18bd3bd87e03","US9489506")</f>
        <v>US9489506</v>
      </c>
      <c r="B2057" s="3" t="s">
        <v>9301</v>
      </c>
      <c r="C2057" s="3" t="s">
        <v>9302</v>
      </c>
      <c r="D2057" s="3" t="s">
        <v>52</v>
      </c>
      <c r="E2057" s="3" t="s">
        <v>52</v>
      </c>
      <c r="F2057" s="3" t="s">
        <v>9303</v>
      </c>
      <c r="G2057" s="3" t="s">
        <v>9304</v>
      </c>
      <c r="H2057" s="3" t="s">
        <v>1729</v>
      </c>
      <c r="I2057" s="3" t="s">
        <v>9305</v>
      </c>
      <c r="J2057" s="3" t="s">
        <v>7478</v>
      </c>
      <c r="K2057" s="3" t="s">
        <v>82</v>
      </c>
      <c r="L2057" s="3" t="s">
        <v>1694</v>
      </c>
      <c r="M2057" s="3" t="s">
        <v>555</v>
      </c>
      <c r="N2057" s="3" t="s">
        <v>9306</v>
      </c>
      <c r="O2057" s="3">
        <v>0</v>
      </c>
      <c r="P2057" s="3">
        <v>16</v>
      </c>
      <c r="Q2057" s="3" t="s">
        <v>60</v>
      </c>
      <c r="R2057" s="3" t="s">
        <v>9307</v>
      </c>
      <c r="S2057" s="3">
        <v>124</v>
      </c>
      <c r="T2057" s="3">
        <v>1</v>
      </c>
      <c r="U2057" s="3">
        <v>123</v>
      </c>
      <c r="V2057" s="3">
        <v>71</v>
      </c>
      <c r="W2057" s="3">
        <v>0</v>
      </c>
      <c r="X2057" s="3" t="s">
        <v>147</v>
      </c>
      <c r="Y2057" s="3">
        <v>0</v>
      </c>
      <c r="Z2057" s="3">
        <v>0</v>
      </c>
      <c r="AA2057" s="3">
        <v>0</v>
      </c>
      <c r="AB2057" s="3">
        <v>0</v>
      </c>
      <c r="AC2057" s="3">
        <v>97</v>
      </c>
      <c r="AD2057" s="3">
        <v>3</v>
      </c>
      <c r="AE2057" s="3">
        <v>14</v>
      </c>
      <c r="AF2057" s="3" t="s">
        <v>0</v>
      </c>
      <c r="AG2057" s="3" t="s">
        <v>49</v>
      </c>
    </row>
    <row r="2058" spans="1:33" ht="38.25" x14ac:dyDescent="0.2">
      <c r="A2058" s="4" t="str">
        <f>HYPERLINK("http://www.patentics.cn/invokexml.do?sf=ShowPatent&amp;spn=US20120250699&amp;sv=e6561e59adf5b5db6ae3684af06397f1","US20120250699")</f>
        <v>US20120250699</v>
      </c>
      <c r="B2058" s="2" t="s">
        <v>9308</v>
      </c>
      <c r="C2058" s="2" t="s">
        <v>9309</v>
      </c>
      <c r="D2058" s="2" t="s">
        <v>346</v>
      </c>
      <c r="E2058" s="2" t="s">
        <v>346</v>
      </c>
      <c r="F2058" s="2" t="s">
        <v>9310</v>
      </c>
      <c r="G2058" s="2" t="s">
        <v>9311</v>
      </c>
      <c r="H2058" s="2" t="s">
        <v>3051</v>
      </c>
      <c r="I2058" s="2" t="s">
        <v>4471</v>
      </c>
      <c r="J2058" s="2" t="s">
        <v>7453</v>
      </c>
      <c r="K2058" s="2" t="s">
        <v>70</v>
      </c>
      <c r="L2058" s="2" t="s">
        <v>3121</v>
      </c>
      <c r="M2058" s="2" t="s">
        <v>0</v>
      </c>
      <c r="N2058" s="2" t="s">
        <v>0</v>
      </c>
      <c r="O2058" s="2">
        <v>8</v>
      </c>
      <c r="P2058" s="2">
        <v>9</v>
      </c>
      <c r="Q2058" s="2" t="s">
        <v>352</v>
      </c>
      <c r="R2058" s="2" t="s">
        <v>47</v>
      </c>
      <c r="S2058" s="2">
        <v>0</v>
      </c>
      <c r="T2058" s="2">
        <v>0</v>
      </c>
      <c r="U2058" s="2">
        <v>0</v>
      </c>
      <c r="V2058" s="2">
        <v>0</v>
      </c>
      <c r="W2058" s="2">
        <v>3</v>
      </c>
      <c r="X2058" s="2" t="s">
        <v>7224</v>
      </c>
      <c r="Y2058" s="2">
        <v>0</v>
      </c>
      <c r="Z2058" s="2">
        <v>3</v>
      </c>
      <c r="AA2058" s="2">
        <v>3</v>
      </c>
      <c r="AB2058" s="2">
        <v>2</v>
      </c>
      <c r="AC2058" s="2">
        <v>4</v>
      </c>
      <c r="AD2058" s="2">
        <v>3</v>
      </c>
      <c r="AE2058" s="2" t="s">
        <v>0</v>
      </c>
      <c r="AF2058" s="2">
        <v>1</v>
      </c>
      <c r="AG2058" s="2" t="s">
        <v>49</v>
      </c>
    </row>
    <row r="2059" spans="1:33" ht="51" x14ac:dyDescent="0.2">
      <c r="A2059" s="5" t="str">
        <f>HYPERLINK("http://www.patentics.cn/invokexml.do?sf=ShowPatent&amp;spn=US8934470&amp;sv=d0e54a4d0161ebc1b64de6c5c7a3f82a","US8934470")</f>
        <v>US8934470</v>
      </c>
      <c r="B2059" s="3" t="s">
        <v>9312</v>
      </c>
      <c r="C2059" s="3" t="s">
        <v>9313</v>
      </c>
      <c r="D2059" s="3" t="s">
        <v>52</v>
      </c>
      <c r="E2059" s="3" t="s">
        <v>52</v>
      </c>
      <c r="F2059" s="3" t="s">
        <v>9314</v>
      </c>
      <c r="G2059" s="3" t="s">
        <v>9315</v>
      </c>
      <c r="H2059" s="3" t="s">
        <v>1330</v>
      </c>
      <c r="I2059" s="3" t="s">
        <v>1330</v>
      </c>
      <c r="J2059" s="3" t="s">
        <v>496</v>
      </c>
      <c r="K2059" s="3" t="s">
        <v>82</v>
      </c>
      <c r="L2059" s="3" t="s">
        <v>83</v>
      </c>
      <c r="M2059" s="3" t="s">
        <v>6232</v>
      </c>
      <c r="N2059" s="3" t="s">
        <v>9316</v>
      </c>
      <c r="O2059" s="3">
        <v>0</v>
      </c>
      <c r="P2059" s="3">
        <v>14</v>
      </c>
      <c r="Q2059" s="3" t="s">
        <v>60</v>
      </c>
      <c r="R2059" s="3" t="s">
        <v>61</v>
      </c>
      <c r="S2059" s="3">
        <v>16</v>
      </c>
      <c r="T2059" s="3">
        <v>4</v>
      </c>
      <c r="U2059" s="3">
        <v>12</v>
      </c>
      <c r="V2059" s="3">
        <v>9</v>
      </c>
      <c r="W2059" s="3">
        <v>1</v>
      </c>
      <c r="X2059" s="3" t="s">
        <v>74</v>
      </c>
      <c r="Y2059" s="3">
        <v>0</v>
      </c>
      <c r="Z2059" s="3">
        <v>1</v>
      </c>
      <c r="AA2059" s="3">
        <v>1</v>
      </c>
      <c r="AB2059" s="3">
        <v>1</v>
      </c>
      <c r="AC2059" s="3">
        <v>6</v>
      </c>
      <c r="AD2059" s="3">
        <v>5</v>
      </c>
      <c r="AE2059" s="3">
        <v>14</v>
      </c>
      <c r="AF2059" s="3" t="s">
        <v>0</v>
      </c>
      <c r="AG2059" s="3" t="s">
        <v>49</v>
      </c>
    </row>
    <row r="2060" spans="1:33" ht="102" x14ac:dyDescent="0.2">
      <c r="A2060" s="4" t="str">
        <f>HYPERLINK("http://www.patentics.cn/invokexml.do?sf=ShowPatent&amp;spn=US20120250591&amp;sv=833c538fc5d8e64450198992ce0157cf","US20120250591")</f>
        <v>US20120250591</v>
      </c>
      <c r="B2060" s="2" t="s">
        <v>9317</v>
      </c>
      <c r="C2060" s="2" t="s">
        <v>9318</v>
      </c>
      <c r="D2060" s="2" t="s">
        <v>346</v>
      </c>
      <c r="E2060" s="2" t="s">
        <v>346</v>
      </c>
      <c r="F2060" s="2" t="s">
        <v>9319</v>
      </c>
      <c r="G2060" s="2" t="s">
        <v>4149</v>
      </c>
      <c r="H2060" s="2" t="s">
        <v>4150</v>
      </c>
      <c r="I2060" s="2" t="s">
        <v>9320</v>
      </c>
      <c r="J2060" s="2" t="s">
        <v>7453</v>
      </c>
      <c r="K2060" s="2" t="s">
        <v>82</v>
      </c>
      <c r="L2060" s="2" t="s">
        <v>244</v>
      </c>
      <c r="M2060" s="2" t="s">
        <v>0</v>
      </c>
      <c r="N2060" s="2" t="s">
        <v>0</v>
      </c>
      <c r="O2060" s="2">
        <v>16</v>
      </c>
      <c r="P2060" s="2">
        <v>9</v>
      </c>
      <c r="Q2060" s="2" t="s">
        <v>352</v>
      </c>
      <c r="R2060" s="2" t="s">
        <v>47</v>
      </c>
      <c r="S2060" s="2">
        <v>1</v>
      </c>
      <c r="T2060" s="2">
        <v>0</v>
      </c>
      <c r="U2060" s="2">
        <v>1</v>
      </c>
      <c r="V2060" s="2">
        <v>1</v>
      </c>
      <c r="W2060" s="2">
        <v>2</v>
      </c>
      <c r="X2060" s="2" t="s">
        <v>1807</v>
      </c>
      <c r="Y2060" s="2">
        <v>0</v>
      </c>
      <c r="Z2060" s="2">
        <v>2</v>
      </c>
      <c r="AA2060" s="2">
        <v>2</v>
      </c>
      <c r="AB2060" s="2">
        <v>1</v>
      </c>
      <c r="AC2060" s="2">
        <v>8</v>
      </c>
      <c r="AD2060" s="2">
        <v>6</v>
      </c>
      <c r="AE2060" s="2" t="s">
        <v>0</v>
      </c>
      <c r="AF2060" s="2">
        <v>1</v>
      </c>
      <c r="AG2060" s="2" t="s">
        <v>2231</v>
      </c>
    </row>
    <row r="2061" spans="1:33" ht="51" x14ac:dyDescent="0.2">
      <c r="A2061" s="5" t="str">
        <f>HYPERLINK("http://www.patentics.cn/invokexml.do?sf=ShowPatent&amp;spn=US9491738&amp;sv=e9faeb3c70d40f26341455dc65a8f91f","US9491738")</f>
        <v>US9491738</v>
      </c>
      <c r="B2061" s="3" t="s">
        <v>9321</v>
      </c>
      <c r="C2061" s="3" t="s">
        <v>9322</v>
      </c>
      <c r="D2061" s="3" t="s">
        <v>52</v>
      </c>
      <c r="E2061" s="3" t="s">
        <v>52</v>
      </c>
      <c r="F2061" s="3" t="s">
        <v>9323</v>
      </c>
      <c r="G2061" s="3" t="s">
        <v>1091</v>
      </c>
      <c r="H2061" s="3" t="s">
        <v>1499</v>
      </c>
      <c r="I2061" s="3" t="s">
        <v>7432</v>
      </c>
      <c r="J2061" s="3" t="s">
        <v>7478</v>
      </c>
      <c r="K2061" s="3" t="s">
        <v>82</v>
      </c>
      <c r="L2061" s="3" t="s">
        <v>83</v>
      </c>
      <c r="M2061" s="3" t="s">
        <v>82</v>
      </c>
      <c r="N2061" s="3" t="s">
        <v>9169</v>
      </c>
      <c r="O2061" s="3">
        <v>0</v>
      </c>
      <c r="P2061" s="3">
        <v>9</v>
      </c>
      <c r="Q2061" s="3" t="s">
        <v>60</v>
      </c>
      <c r="R2061" s="3" t="s">
        <v>61</v>
      </c>
      <c r="S2061" s="3">
        <v>11</v>
      </c>
      <c r="T2061" s="3">
        <v>1</v>
      </c>
      <c r="U2061" s="3">
        <v>10</v>
      </c>
      <c r="V2061" s="3">
        <v>9</v>
      </c>
      <c r="W2061" s="3">
        <v>0</v>
      </c>
      <c r="X2061" s="3" t="s">
        <v>147</v>
      </c>
      <c r="Y2061" s="3">
        <v>0</v>
      </c>
      <c r="Z2061" s="3">
        <v>0</v>
      </c>
      <c r="AA2061" s="3">
        <v>0</v>
      </c>
      <c r="AB2061" s="3">
        <v>0</v>
      </c>
      <c r="AC2061" s="3">
        <v>5</v>
      </c>
      <c r="AD2061" s="3">
        <v>4</v>
      </c>
      <c r="AE2061" s="3">
        <v>14</v>
      </c>
      <c r="AF2061" s="3" t="s">
        <v>0</v>
      </c>
      <c r="AG2061" s="3" t="s">
        <v>49</v>
      </c>
    </row>
    <row r="2062" spans="1:33" ht="38.25" x14ac:dyDescent="0.2">
      <c r="A2062" s="4" t="str">
        <f>HYPERLINK("http://www.patentics.cn/invokexml.do?sf=ShowPatent&amp;spn=US20120236802&amp;sv=3c443031058de29a78a73239135be508","US20120236802")</f>
        <v>US20120236802</v>
      </c>
      <c r="B2062" s="2" t="s">
        <v>9324</v>
      </c>
      <c r="C2062" s="2" t="s">
        <v>9325</v>
      </c>
      <c r="D2062" s="2" t="s">
        <v>346</v>
      </c>
      <c r="E2062" s="2" t="s">
        <v>346</v>
      </c>
      <c r="F2062" s="2" t="s">
        <v>9326</v>
      </c>
      <c r="G2062" s="2" t="s">
        <v>9326</v>
      </c>
      <c r="H2062" s="2" t="s">
        <v>632</v>
      </c>
      <c r="I2062" s="2" t="s">
        <v>6173</v>
      </c>
      <c r="J2062" s="2" t="s">
        <v>4166</v>
      </c>
      <c r="K2062" s="2" t="s">
        <v>82</v>
      </c>
      <c r="L2062" s="2" t="s">
        <v>244</v>
      </c>
      <c r="M2062" s="2" t="s">
        <v>0</v>
      </c>
      <c r="N2062" s="2" t="s">
        <v>0</v>
      </c>
      <c r="O2062" s="2">
        <v>20</v>
      </c>
      <c r="P2062" s="2">
        <v>20</v>
      </c>
      <c r="Q2062" s="2" t="s">
        <v>352</v>
      </c>
      <c r="R2062" s="2" t="s">
        <v>47</v>
      </c>
      <c r="S2062" s="2">
        <v>0</v>
      </c>
      <c r="T2062" s="2">
        <v>0</v>
      </c>
      <c r="U2062" s="2">
        <v>0</v>
      </c>
      <c r="V2062" s="2">
        <v>0</v>
      </c>
      <c r="W2062" s="2">
        <v>4</v>
      </c>
      <c r="X2062" s="2" t="s">
        <v>9327</v>
      </c>
      <c r="Y2062" s="2">
        <v>1</v>
      </c>
      <c r="Z2062" s="2">
        <v>3</v>
      </c>
      <c r="AA2062" s="2">
        <v>3</v>
      </c>
      <c r="AB2062" s="2">
        <v>2</v>
      </c>
      <c r="AC2062" s="2">
        <v>7</v>
      </c>
      <c r="AD2062" s="2">
        <v>6</v>
      </c>
      <c r="AE2062" s="2" t="s">
        <v>0</v>
      </c>
      <c r="AF2062" s="2">
        <v>1</v>
      </c>
      <c r="AG2062" s="2" t="s">
        <v>49</v>
      </c>
    </row>
    <row r="2063" spans="1:33" ht="51" x14ac:dyDescent="0.2">
      <c r="A2063" s="5" t="str">
        <f>HYPERLINK("http://www.patentics.cn/invokexml.do?sf=ShowPatent&amp;spn=US9622230&amp;sv=6ff573798d043e8eaa42a6600c98805d","US9622230")</f>
        <v>US9622230</v>
      </c>
      <c r="B2063" s="3" t="s">
        <v>9328</v>
      </c>
      <c r="C2063" s="3" t="s">
        <v>9329</v>
      </c>
      <c r="D2063" s="3" t="s">
        <v>52</v>
      </c>
      <c r="E2063" s="3" t="s">
        <v>52</v>
      </c>
      <c r="F2063" s="3" t="s">
        <v>9323</v>
      </c>
      <c r="G2063" s="3" t="s">
        <v>1091</v>
      </c>
      <c r="H2063" s="3" t="s">
        <v>0</v>
      </c>
      <c r="I2063" s="3" t="s">
        <v>6411</v>
      </c>
      <c r="J2063" s="3" t="s">
        <v>3388</v>
      </c>
      <c r="K2063" s="3" t="s">
        <v>82</v>
      </c>
      <c r="L2063" s="3" t="s">
        <v>244</v>
      </c>
      <c r="M2063" s="3" t="s">
        <v>82</v>
      </c>
      <c r="N2063" s="3" t="s">
        <v>1185</v>
      </c>
      <c r="O2063" s="3">
        <v>0</v>
      </c>
      <c r="P2063" s="3">
        <v>11</v>
      </c>
      <c r="Q2063" s="3" t="s">
        <v>60</v>
      </c>
      <c r="R2063" s="3" t="s">
        <v>61</v>
      </c>
      <c r="S2063" s="3">
        <v>25</v>
      </c>
      <c r="T2063" s="3">
        <v>6</v>
      </c>
      <c r="U2063" s="3">
        <v>19</v>
      </c>
      <c r="V2063" s="3">
        <v>12</v>
      </c>
      <c r="W2063" s="3">
        <v>0</v>
      </c>
      <c r="X2063" s="3" t="s">
        <v>147</v>
      </c>
      <c r="Y2063" s="3">
        <v>0</v>
      </c>
      <c r="Z2063" s="3">
        <v>0</v>
      </c>
      <c r="AA2063" s="3">
        <v>0</v>
      </c>
      <c r="AB2063" s="3">
        <v>0</v>
      </c>
      <c r="AC2063" s="3">
        <v>0</v>
      </c>
      <c r="AD2063" s="3">
        <v>0</v>
      </c>
      <c r="AE2063" s="3">
        <v>14</v>
      </c>
      <c r="AF2063" s="3" t="s">
        <v>0</v>
      </c>
      <c r="AG2063" s="3" t="s">
        <v>49</v>
      </c>
    </row>
    <row r="2064" spans="1:33" ht="76.5" x14ac:dyDescent="0.2">
      <c r="A2064" s="4" t="str">
        <f>HYPERLINK("http://www.patentics.cn/invokexml.do?sf=ShowPatent&amp;spn=US20120220326&amp;sv=f52a67e6843d4fe3314cfff4f35bde32","US20120220326")</f>
        <v>US20120220326</v>
      </c>
      <c r="B2064" s="2" t="s">
        <v>9330</v>
      </c>
      <c r="C2064" s="2" t="s">
        <v>9331</v>
      </c>
      <c r="D2064" s="2" t="s">
        <v>346</v>
      </c>
      <c r="E2064" s="2" t="s">
        <v>346</v>
      </c>
      <c r="F2064" s="2" t="s">
        <v>9332</v>
      </c>
      <c r="G2064" s="2" t="s">
        <v>9333</v>
      </c>
      <c r="H2064" s="2" t="s">
        <v>9334</v>
      </c>
      <c r="I2064" s="2" t="s">
        <v>4454</v>
      </c>
      <c r="J2064" s="2" t="s">
        <v>2762</v>
      </c>
      <c r="K2064" s="2" t="s">
        <v>82</v>
      </c>
      <c r="L2064" s="2" t="s">
        <v>9335</v>
      </c>
      <c r="M2064" s="2" t="s">
        <v>0</v>
      </c>
      <c r="N2064" s="2" t="s">
        <v>0</v>
      </c>
      <c r="O2064" s="2">
        <v>20</v>
      </c>
      <c r="P2064" s="2">
        <v>10</v>
      </c>
      <c r="Q2064" s="2" t="s">
        <v>352</v>
      </c>
      <c r="R2064" s="2" t="s">
        <v>47</v>
      </c>
      <c r="S2064" s="2">
        <v>0</v>
      </c>
      <c r="T2064" s="2">
        <v>0</v>
      </c>
      <c r="U2064" s="2">
        <v>0</v>
      </c>
      <c r="V2064" s="2">
        <v>0</v>
      </c>
      <c r="W2064" s="2">
        <v>8</v>
      </c>
      <c r="X2064" s="2" t="s">
        <v>4637</v>
      </c>
      <c r="Y2064" s="2">
        <v>0</v>
      </c>
      <c r="Z2064" s="2">
        <v>8</v>
      </c>
      <c r="AA2064" s="2">
        <v>7</v>
      </c>
      <c r="AB2064" s="2">
        <v>1</v>
      </c>
      <c r="AC2064" s="2">
        <v>5</v>
      </c>
      <c r="AD2064" s="2">
        <v>4</v>
      </c>
      <c r="AE2064" s="2" t="s">
        <v>0</v>
      </c>
      <c r="AF2064" s="2">
        <v>1</v>
      </c>
      <c r="AG2064" s="2" t="s">
        <v>49</v>
      </c>
    </row>
    <row r="2065" spans="1:33" ht="102" x14ac:dyDescent="0.2">
      <c r="A2065" s="5" t="str">
        <f>HYPERLINK("http://www.patentics.cn/invokexml.do?sf=ShowPatent&amp;spn=US9497102&amp;sv=d09ff11165dc03b5493e798892ab569a","US9497102")</f>
        <v>US9497102</v>
      </c>
      <c r="B2065" s="3" t="s">
        <v>4493</v>
      </c>
      <c r="C2065" s="3" t="s">
        <v>4494</v>
      </c>
      <c r="D2065" s="3" t="s">
        <v>52</v>
      </c>
      <c r="E2065" s="3" t="s">
        <v>52</v>
      </c>
      <c r="F2065" s="3" t="s">
        <v>4495</v>
      </c>
      <c r="G2065" s="3" t="s">
        <v>1410</v>
      </c>
      <c r="H2065" s="3" t="s">
        <v>4496</v>
      </c>
      <c r="I2065" s="3" t="s">
        <v>2394</v>
      </c>
      <c r="J2065" s="3" t="s">
        <v>1677</v>
      </c>
      <c r="K2065" s="3" t="s">
        <v>82</v>
      </c>
      <c r="L2065" s="3" t="s">
        <v>4497</v>
      </c>
      <c r="M2065" s="3" t="s">
        <v>58</v>
      </c>
      <c r="N2065" s="3" t="s">
        <v>4498</v>
      </c>
      <c r="O2065" s="3">
        <v>0</v>
      </c>
      <c r="P2065" s="3">
        <v>15</v>
      </c>
      <c r="Q2065" s="3" t="s">
        <v>60</v>
      </c>
      <c r="R2065" s="3" t="s">
        <v>61</v>
      </c>
      <c r="S2065" s="3">
        <v>21</v>
      </c>
      <c r="T2065" s="3">
        <v>2</v>
      </c>
      <c r="U2065" s="3">
        <v>19</v>
      </c>
      <c r="V2065" s="3">
        <v>12</v>
      </c>
      <c r="W2065" s="3">
        <v>0</v>
      </c>
      <c r="X2065" s="3" t="s">
        <v>147</v>
      </c>
      <c r="Y2065" s="3">
        <v>0</v>
      </c>
      <c r="Z2065" s="3">
        <v>0</v>
      </c>
      <c r="AA2065" s="3">
        <v>0</v>
      </c>
      <c r="AB2065" s="3">
        <v>0</v>
      </c>
      <c r="AC2065" s="3">
        <v>8</v>
      </c>
      <c r="AD2065" s="3">
        <v>7</v>
      </c>
      <c r="AE2065" s="3">
        <v>14</v>
      </c>
      <c r="AF2065" s="3" t="s">
        <v>0</v>
      </c>
      <c r="AG2065" s="3" t="s">
        <v>49</v>
      </c>
    </row>
    <row r="2066" spans="1:33" ht="89.25" x14ac:dyDescent="0.2">
      <c r="A2066" s="4" t="str">
        <f>HYPERLINK("http://www.patentics.cn/invokexml.do?sf=ShowPatent&amp;spn=US20120218974&amp;sv=ccea1087c499feb330e83fe234c7e7a5","US20120218974")</f>
        <v>US20120218974</v>
      </c>
      <c r="B2066" s="2" t="s">
        <v>9336</v>
      </c>
      <c r="C2066" s="2" t="s">
        <v>9337</v>
      </c>
      <c r="D2066" s="2" t="s">
        <v>346</v>
      </c>
      <c r="E2066" s="2" t="s">
        <v>346</v>
      </c>
      <c r="F2066" s="2" t="s">
        <v>9338</v>
      </c>
      <c r="G2066" s="2" t="s">
        <v>9237</v>
      </c>
      <c r="H2066" s="2" t="s">
        <v>6809</v>
      </c>
      <c r="I2066" s="2" t="s">
        <v>9339</v>
      </c>
      <c r="J2066" s="2" t="s">
        <v>2762</v>
      </c>
      <c r="K2066" s="2" t="s">
        <v>82</v>
      </c>
      <c r="L2066" s="2" t="s">
        <v>9340</v>
      </c>
      <c r="M2066" s="2" t="s">
        <v>0</v>
      </c>
      <c r="N2066" s="2" t="s">
        <v>0</v>
      </c>
      <c r="O2066" s="2">
        <v>20</v>
      </c>
      <c r="P2066" s="2">
        <v>13</v>
      </c>
      <c r="Q2066" s="2" t="s">
        <v>352</v>
      </c>
      <c r="R2066" s="2" t="s">
        <v>47</v>
      </c>
      <c r="S2066" s="2">
        <v>0</v>
      </c>
      <c r="T2066" s="2">
        <v>0</v>
      </c>
      <c r="U2066" s="2">
        <v>0</v>
      </c>
      <c r="V2066" s="2">
        <v>0</v>
      </c>
      <c r="W2066" s="2">
        <v>1</v>
      </c>
      <c r="X2066" s="2" t="s">
        <v>1061</v>
      </c>
      <c r="Y2066" s="2">
        <v>0</v>
      </c>
      <c r="Z2066" s="2">
        <v>1</v>
      </c>
      <c r="AA2066" s="2">
        <v>1</v>
      </c>
      <c r="AB2066" s="2">
        <v>1</v>
      </c>
      <c r="AC2066" s="2">
        <v>4</v>
      </c>
      <c r="AD2066" s="2">
        <v>4</v>
      </c>
      <c r="AE2066" s="2" t="s">
        <v>0</v>
      </c>
      <c r="AF2066" s="2">
        <v>1</v>
      </c>
      <c r="AG2066" s="2" t="s">
        <v>49</v>
      </c>
    </row>
    <row r="2067" spans="1:33" ht="51" x14ac:dyDescent="0.2">
      <c r="A2067" s="5" t="str">
        <f>HYPERLINK("http://www.patentics.cn/invokexml.do?sf=ShowPatent&amp;spn=US8885536&amp;sv=a8344b93d1fff5bb12616a4ddfb4208e","US8885536")</f>
        <v>US8885536</v>
      </c>
      <c r="B2067" s="3" t="s">
        <v>9341</v>
      </c>
      <c r="C2067" s="3" t="s">
        <v>9342</v>
      </c>
      <c r="D2067" s="3" t="s">
        <v>52</v>
      </c>
      <c r="E2067" s="3" t="s">
        <v>52</v>
      </c>
      <c r="F2067" s="3" t="s">
        <v>9343</v>
      </c>
      <c r="G2067" s="3" t="s">
        <v>5176</v>
      </c>
      <c r="H2067" s="3" t="s">
        <v>931</v>
      </c>
      <c r="I2067" s="3" t="s">
        <v>5284</v>
      </c>
      <c r="J2067" s="3" t="s">
        <v>196</v>
      </c>
      <c r="K2067" s="3" t="s">
        <v>1246</v>
      </c>
      <c r="L2067" s="3" t="s">
        <v>1247</v>
      </c>
      <c r="M2067" s="3" t="s">
        <v>82</v>
      </c>
      <c r="N2067" s="3" t="s">
        <v>5119</v>
      </c>
      <c r="O2067" s="3">
        <v>0</v>
      </c>
      <c r="P2067" s="3">
        <v>12</v>
      </c>
      <c r="Q2067" s="3" t="s">
        <v>60</v>
      </c>
      <c r="R2067" s="3" t="s">
        <v>61</v>
      </c>
      <c r="S2067" s="3">
        <v>11</v>
      </c>
      <c r="T2067" s="3">
        <v>0</v>
      </c>
      <c r="U2067" s="3">
        <v>11</v>
      </c>
      <c r="V2067" s="3">
        <v>9</v>
      </c>
      <c r="W2067" s="3">
        <v>7</v>
      </c>
      <c r="X2067" s="3" t="s">
        <v>147</v>
      </c>
      <c r="Y2067" s="3">
        <v>0</v>
      </c>
      <c r="Z2067" s="3">
        <v>7</v>
      </c>
      <c r="AA2067" s="3">
        <v>0</v>
      </c>
      <c r="AB2067" s="3">
        <v>1</v>
      </c>
      <c r="AC2067" s="3">
        <v>11</v>
      </c>
      <c r="AD2067" s="3">
        <v>7</v>
      </c>
      <c r="AE2067" s="3">
        <v>14</v>
      </c>
      <c r="AF2067" s="3" t="s">
        <v>0</v>
      </c>
      <c r="AG2067" s="3" t="s">
        <v>49</v>
      </c>
    </row>
    <row r="2068" spans="1:33" ht="102" x14ac:dyDescent="0.2">
      <c r="A2068" s="4" t="str">
        <f>HYPERLINK("http://www.patentics.cn/invokexml.do?sf=ShowPatent&amp;spn=US20120217934&amp;sv=2e11f7c9003349bcfd9ed5e00109afbc","US20120217934")</f>
        <v>US20120217934</v>
      </c>
      <c r="B2068" s="2" t="s">
        <v>9344</v>
      </c>
      <c r="C2068" s="2" t="s">
        <v>9345</v>
      </c>
      <c r="D2068" s="2" t="s">
        <v>346</v>
      </c>
      <c r="E2068" s="2" t="s">
        <v>346</v>
      </c>
      <c r="F2068" s="2" t="s">
        <v>9346</v>
      </c>
      <c r="G2068" s="2" t="s">
        <v>9347</v>
      </c>
      <c r="H2068" s="2" t="s">
        <v>7679</v>
      </c>
      <c r="I2068" s="2" t="s">
        <v>3223</v>
      </c>
      <c r="J2068" s="2" t="s">
        <v>2762</v>
      </c>
      <c r="K2068" s="2" t="s">
        <v>2110</v>
      </c>
      <c r="L2068" s="2" t="s">
        <v>2111</v>
      </c>
      <c r="M2068" s="2" t="s">
        <v>0</v>
      </c>
      <c r="N2068" s="2" t="s">
        <v>0</v>
      </c>
      <c r="O2068" s="2">
        <v>14</v>
      </c>
      <c r="P2068" s="2">
        <v>7</v>
      </c>
      <c r="Q2068" s="2" t="s">
        <v>352</v>
      </c>
      <c r="R2068" s="2" t="s">
        <v>47</v>
      </c>
      <c r="S2068" s="2">
        <v>0</v>
      </c>
      <c r="T2068" s="2">
        <v>0</v>
      </c>
      <c r="U2068" s="2">
        <v>0</v>
      </c>
      <c r="V2068" s="2">
        <v>0</v>
      </c>
      <c r="W2068" s="2">
        <v>1</v>
      </c>
      <c r="X2068" s="2" t="s">
        <v>1061</v>
      </c>
      <c r="Y2068" s="2">
        <v>0</v>
      </c>
      <c r="Z2068" s="2">
        <v>1</v>
      </c>
      <c r="AA2068" s="2">
        <v>1</v>
      </c>
      <c r="AB2068" s="2">
        <v>1</v>
      </c>
      <c r="AC2068" s="2">
        <v>5</v>
      </c>
      <c r="AD2068" s="2">
        <v>4</v>
      </c>
      <c r="AE2068" s="2" t="s">
        <v>0</v>
      </c>
      <c r="AF2068" s="2">
        <v>1</v>
      </c>
      <c r="AG2068" s="2" t="s">
        <v>49</v>
      </c>
    </row>
    <row r="2069" spans="1:33" ht="38.25" x14ac:dyDescent="0.2">
      <c r="A2069" s="5" t="str">
        <f>HYPERLINK("http://www.patentics.cn/invokexml.do?sf=ShowPatent&amp;spn=US8977874&amp;sv=ef8f509df50edd12ad1f44eb906cb7d3","US8977874")</f>
        <v>US8977874</v>
      </c>
      <c r="B2069" s="3" t="s">
        <v>9348</v>
      </c>
      <c r="C2069" s="3" t="s">
        <v>9349</v>
      </c>
      <c r="D2069" s="3" t="s">
        <v>52</v>
      </c>
      <c r="E2069" s="3" t="s">
        <v>52</v>
      </c>
      <c r="F2069" s="3" t="s">
        <v>9350</v>
      </c>
      <c r="G2069" s="3" t="s">
        <v>9350</v>
      </c>
      <c r="H2069" s="3" t="s">
        <v>3375</v>
      </c>
      <c r="I2069" s="3" t="s">
        <v>3760</v>
      </c>
      <c r="J2069" s="3" t="s">
        <v>3574</v>
      </c>
      <c r="K2069" s="3" t="s">
        <v>555</v>
      </c>
      <c r="L2069" s="3" t="s">
        <v>9351</v>
      </c>
      <c r="M2069" s="3" t="s">
        <v>555</v>
      </c>
      <c r="N2069" s="3" t="s">
        <v>9352</v>
      </c>
      <c r="O2069" s="3">
        <v>0</v>
      </c>
      <c r="P2069" s="3">
        <v>30</v>
      </c>
      <c r="Q2069" s="3" t="s">
        <v>60</v>
      </c>
      <c r="R2069" s="3" t="s">
        <v>61</v>
      </c>
      <c r="S2069" s="3">
        <v>11</v>
      </c>
      <c r="T2069" s="3">
        <v>0</v>
      </c>
      <c r="U2069" s="3">
        <v>11</v>
      </c>
      <c r="V2069" s="3">
        <v>6</v>
      </c>
      <c r="W2069" s="3">
        <v>0</v>
      </c>
      <c r="X2069" s="3" t="s">
        <v>147</v>
      </c>
      <c r="Y2069" s="3">
        <v>0</v>
      </c>
      <c r="Z2069" s="3">
        <v>0</v>
      </c>
      <c r="AA2069" s="3">
        <v>0</v>
      </c>
      <c r="AB2069" s="3">
        <v>0</v>
      </c>
      <c r="AC2069" s="3">
        <v>6</v>
      </c>
      <c r="AD2069" s="3">
        <v>6</v>
      </c>
      <c r="AE2069" s="3">
        <v>14</v>
      </c>
      <c r="AF2069" s="3" t="s">
        <v>0</v>
      </c>
      <c r="AG2069" s="3" t="s">
        <v>49</v>
      </c>
    </row>
    <row r="2070" spans="1:33" ht="38.25" x14ac:dyDescent="0.2">
      <c r="A2070" s="4" t="str">
        <f>HYPERLINK("http://www.patentics.cn/invokexml.do?sf=ShowPatent&amp;spn=US20120213089&amp;sv=dad0ed78cd8aa55bfb459a430c9501dc","US20120213089")</f>
        <v>US20120213089</v>
      </c>
      <c r="B2070" s="2" t="s">
        <v>9353</v>
      </c>
      <c r="C2070" s="2" t="s">
        <v>9354</v>
      </c>
      <c r="D2070" s="2" t="s">
        <v>346</v>
      </c>
      <c r="E2070" s="2" t="s">
        <v>346</v>
      </c>
      <c r="F2070" s="2" t="s">
        <v>9355</v>
      </c>
      <c r="G2070" s="2" t="s">
        <v>6394</v>
      </c>
      <c r="H2070" s="2" t="s">
        <v>5225</v>
      </c>
      <c r="I2070" s="2" t="s">
        <v>9356</v>
      </c>
      <c r="J2070" s="2" t="s">
        <v>9357</v>
      </c>
      <c r="K2070" s="2" t="s">
        <v>58</v>
      </c>
      <c r="L2070" s="2" t="s">
        <v>763</v>
      </c>
      <c r="M2070" s="2" t="s">
        <v>0</v>
      </c>
      <c r="N2070" s="2" t="s">
        <v>0</v>
      </c>
      <c r="O2070" s="2">
        <v>18</v>
      </c>
      <c r="P2070" s="2">
        <v>3</v>
      </c>
      <c r="Q2070" s="2" t="s">
        <v>352</v>
      </c>
      <c r="R2070" s="2" t="s">
        <v>47</v>
      </c>
      <c r="S2070" s="2">
        <v>0</v>
      </c>
      <c r="T2070" s="2">
        <v>0</v>
      </c>
      <c r="U2070" s="2">
        <v>0</v>
      </c>
      <c r="V2070" s="2">
        <v>0</v>
      </c>
      <c r="W2070" s="2">
        <v>5</v>
      </c>
      <c r="X2070" s="2" t="s">
        <v>4059</v>
      </c>
      <c r="Y2070" s="2">
        <v>0</v>
      </c>
      <c r="Z2070" s="2">
        <v>5</v>
      </c>
      <c r="AA2070" s="2">
        <v>4</v>
      </c>
      <c r="AB2070" s="2">
        <v>1</v>
      </c>
      <c r="AC2070" s="2">
        <v>3</v>
      </c>
      <c r="AD2070" s="2">
        <v>4</v>
      </c>
      <c r="AE2070" s="2" t="s">
        <v>0</v>
      </c>
      <c r="AF2070" s="2">
        <v>1</v>
      </c>
      <c r="AG2070" s="2" t="s">
        <v>2231</v>
      </c>
    </row>
    <row r="2071" spans="1:33" ht="51" x14ac:dyDescent="0.2">
      <c r="A2071" s="5" t="str">
        <f>HYPERLINK("http://www.patentics.cn/invokexml.do?sf=ShowPatent&amp;spn=US9332446&amp;sv=64e27a469f2af22f5dbc4e046a086bc5","US9332446")</f>
        <v>US9332446</v>
      </c>
      <c r="B2071" s="3" t="s">
        <v>7092</v>
      </c>
      <c r="C2071" s="3" t="s">
        <v>7093</v>
      </c>
      <c r="D2071" s="3" t="s">
        <v>52</v>
      </c>
      <c r="E2071" s="3" t="s">
        <v>52</v>
      </c>
      <c r="F2071" s="3" t="s">
        <v>7094</v>
      </c>
      <c r="G2071" s="3" t="s">
        <v>7095</v>
      </c>
      <c r="H2071" s="3" t="s">
        <v>1701</v>
      </c>
      <c r="I2071" s="3" t="s">
        <v>1070</v>
      </c>
      <c r="J2071" s="3" t="s">
        <v>3217</v>
      </c>
      <c r="K2071" s="3" t="s">
        <v>270</v>
      </c>
      <c r="L2071" s="3" t="s">
        <v>6554</v>
      </c>
      <c r="M2071" s="3" t="s">
        <v>82</v>
      </c>
      <c r="N2071" s="3" t="s">
        <v>958</v>
      </c>
      <c r="O2071" s="3">
        <v>0</v>
      </c>
      <c r="P2071" s="3">
        <v>13</v>
      </c>
      <c r="Q2071" s="3" t="s">
        <v>60</v>
      </c>
      <c r="R2071" s="3" t="s">
        <v>61</v>
      </c>
      <c r="S2071" s="3">
        <v>14</v>
      </c>
      <c r="T2071" s="3">
        <v>2</v>
      </c>
      <c r="U2071" s="3">
        <v>12</v>
      </c>
      <c r="V2071" s="3">
        <v>9</v>
      </c>
      <c r="W2071" s="3">
        <v>0</v>
      </c>
      <c r="X2071" s="3" t="s">
        <v>147</v>
      </c>
      <c r="Y2071" s="3">
        <v>0</v>
      </c>
      <c r="Z2071" s="3">
        <v>0</v>
      </c>
      <c r="AA2071" s="3">
        <v>0</v>
      </c>
      <c r="AB2071" s="3">
        <v>0</v>
      </c>
      <c r="AC2071" s="3">
        <v>2</v>
      </c>
      <c r="AD2071" s="3">
        <v>2</v>
      </c>
      <c r="AE2071" s="3">
        <v>14</v>
      </c>
      <c r="AF2071" s="3" t="s">
        <v>0</v>
      </c>
      <c r="AG2071" s="3" t="s">
        <v>49</v>
      </c>
    </row>
    <row r="2072" spans="1:33" ht="38.25" x14ac:dyDescent="0.2">
      <c r="A2072" s="4" t="str">
        <f>HYPERLINK("http://www.patentics.cn/invokexml.do?sf=ShowPatent&amp;spn=US20120178411&amp;sv=c3bc335e7425c0d607942f33edbc1263","US20120178411")</f>
        <v>US20120178411</v>
      </c>
      <c r="B2072" s="2" t="s">
        <v>9358</v>
      </c>
      <c r="C2072" s="2" t="s">
        <v>9359</v>
      </c>
      <c r="D2072" s="2" t="s">
        <v>346</v>
      </c>
      <c r="E2072" s="2" t="s">
        <v>346</v>
      </c>
      <c r="F2072" s="2" t="s">
        <v>9360</v>
      </c>
      <c r="G2072" s="2" t="s">
        <v>9333</v>
      </c>
      <c r="H2072" s="2" t="s">
        <v>4966</v>
      </c>
      <c r="I2072" s="2" t="s">
        <v>4722</v>
      </c>
      <c r="J2072" s="2" t="s">
        <v>1755</v>
      </c>
      <c r="K2072" s="2" t="s">
        <v>82</v>
      </c>
      <c r="L2072" s="2" t="s">
        <v>8592</v>
      </c>
      <c r="M2072" s="2" t="s">
        <v>0</v>
      </c>
      <c r="N2072" s="2" t="s">
        <v>0</v>
      </c>
      <c r="O2072" s="2">
        <v>14</v>
      </c>
      <c r="P2072" s="2">
        <v>25</v>
      </c>
      <c r="Q2072" s="2" t="s">
        <v>352</v>
      </c>
      <c r="R2072" s="2" t="s">
        <v>47</v>
      </c>
      <c r="S2072" s="2">
        <v>0</v>
      </c>
      <c r="T2072" s="2">
        <v>0</v>
      </c>
      <c r="U2072" s="2">
        <v>0</v>
      </c>
      <c r="V2072" s="2">
        <v>0</v>
      </c>
      <c r="W2072" s="2">
        <v>2</v>
      </c>
      <c r="X2072" s="2" t="s">
        <v>670</v>
      </c>
      <c r="Y2072" s="2">
        <v>0</v>
      </c>
      <c r="Z2072" s="2">
        <v>2</v>
      </c>
      <c r="AA2072" s="2">
        <v>2</v>
      </c>
      <c r="AB2072" s="2">
        <v>1</v>
      </c>
      <c r="AC2072" s="2">
        <v>4</v>
      </c>
      <c r="AD2072" s="2">
        <v>4</v>
      </c>
      <c r="AE2072" s="2" t="s">
        <v>0</v>
      </c>
      <c r="AF2072" s="2">
        <v>1</v>
      </c>
      <c r="AG2072" s="2" t="s">
        <v>2231</v>
      </c>
    </row>
    <row r="2073" spans="1:33" ht="38.25" x14ac:dyDescent="0.2">
      <c r="A2073" s="5" t="str">
        <f>HYPERLINK("http://www.patentics.cn/invokexml.do?sf=ShowPatent&amp;spn=US9037158&amp;sv=339473d1c397703eaea256ed61e26160","US9037158")</f>
        <v>US9037158</v>
      </c>
      <c r="B2073" s="3" t="s">
        <v>9361</v>
      </c>
      <c r="C2073" s="3" t="s">
        <v>9362</v>
      </c>
      <c r="D2073" s="3" t="s">
        <v>52</v>
      </c>
      <c r="E2073" s="3" t="s">
        <v>52</v>
      </c>
      <c r="F2073" s="3" t="s">
        <v>9363</v>
      </c>
      <c r="G2073" s="3" t="s">
        <v>9364</v>
      </c>
      <c r="H2073" s="3" t="s">
        <v>8781</v>
      </c>
      <c r="I2073" s="3" t="s">
        <v>8781</v>
      </c>
      <c r="J2073" s="3" t="s">
        <v>207</v>
      </c>
      <c r="K2073" s="3" t="s">
        <v>82</v>
      </c>
      <c r="L2073" s="3" t="s">
        <v>806</v>
      </c>
      <c r="M2073" s="3" t="s">
        <v>0</v>
      </c>
      <c r="N2073" s="3" t="s">
        <v>0</v>
      </c>
      <c r="O2073" s="3">
        <v>0</v>
      </c>
      <c r="P2073" s="3">
        <v>16</v>
      </c>
      <c r="Q2073" s="3" t="s">
        <v>60</v>
      </c>
      <c r="R2073" s="3" t="s">
        <v>61</v>
      </c>
      <c r="S2073" s="3">
        <v>17</v>
      </c>
      <c r="T2073" s="3">
        <v>4</v>
      </c>
      <c r="U2073" s="3">
        <v>13</v>
      </c>
      <c r="V2073" s="3">
        <v>11</v>
      </c>
      <c r="W2073" s="3">
        <v>0</v>
      </c>
      <c r="X2073" s="3" t="s">
        <v>147</v>
      </c>
      <c r="Y2073" s="3">
        <v>0</v>
      </c>
      <c r="Z2073" s="3">
        <v>0</v>
      </c>
      <c r="AA2073" s="3">
        <v>0</v>
      </c>
      <c r="AB2073" s="3">
        <v>0</v>
      </c>
      <c r="AC2073" s="3">
        <v>6</v>
      </c>
      <c r="AD2073" s="3">
        <v>5</v>
      </c>
      <c r="AE2073" s="3">
        <v>14</v>
      </c>
      <c r="AF2073" s="3" t="s">
        <v>0</v>
      </c>
      <c r="AG2073" s="3" t="s">
        <v>49</v>
      </c>
    </row>
    <row r="2074" spans="1:33" ht="63.75" x14ac:dyDescent="0.2">
      <c r="A2074" s="4" t="str">
        <f>HYPERLINK("http://www.patentics.cn/invokexml.do?sf=ShowPatent&amp;spn=US20120164951&amp;sv=cf813aa746684c8c072f2fb75056f079","US20120164951")</f>
        <v>US20120164951</v>
      </c>
      <c r="B2074" s="2" t="s">
        <v>9365</v>
      </c>
      <c r="C2074" s="2" t="s">
        <v>9366</v>
      </c>
      <c r="D2074" s="2" t="s">
        <v>346</v>
      </c>
      <c r="E2074" s="2" t="s">
        <v>346</v>
      </c>
      <c r="F2074" s="2" t="s">
        <v>9367</v>
      </c>
      <c r="G2074" s="2" t="s">
        <v>9368</v>
      </c>
      <c r="H2074" s="2" t="s">
        <v>1262</v>
      </c>
      <c r="I2074" s="2" t="s">
        <v>3175</v>
      </c>
      <c r="J2074" s="2" t="s">
        <v>9369</v>
      </c>
      <c r="K2074" s="2" t="s">
        <v>84</v>
      </c>
      <c r="L2074" s="2" t="s">
        <v>506</v>
      </c>
      <c r="M2074" s="2" t="s">
        <v>0</v>
      </c>
      <c r="N2074" s="2" t="s">
        <v>0</v>
      </c>
      <c r="O2074" s="2">
        <v>10</v>
      </c>
      <c r="P2074" s="2">
        <v>43</v>
      </c>
      <c r="Q2074" s="2" t="s">
        <v>352</v>
      </c>
      <c r="R2074" s="2" t="s">
        <v>47</v>
      </c>
      <c r="S2074" s="2">
        <v>0</v>
      </c>
      <c r="T2074" s="2">
        <v>0</v>
      </c>
      <c r="U2074" s="2">
        <v>0</v>
      </c>
      <c r="V2074" s="2">
        <v>0</v>
      </c>
      <c r="W2074" s="2">
        <v>1</v>
      </c>
      <c r="X2074" s="2" t="s">
        <v>1186</v>
      </c>
      <c r="Y2074" s="2">
        <v>0</v>
      </c>
      <c r="Z2074" s="2">
        <v>1</v>
      </c>
      <c r="AA2074" s="2">
        <v>1</v>
      </c>
      <c r="AB2074" s="2">
        <v>1</v>
      </c>
      <c r="AC2074" s="2">
        <v>4</v>
      </c>
      <c r="AD2074" s="2">
        <v>4</v>
      </c>
      <c r="AE2074" s="2" t="s">
        <v>0</v>
      </c>
      <c r="AF2074" s="2">
        <v>1</v>
      </c>
      <c r="AG2074" s="2" t="s">
        <v>49</v>
      </c>
    </row>
    <row r="2075" spans="1:33" ht="76.5" x14ac:dyDescent="0.2">
      <c r="A2075" s="5" t="str">
        <f>HYPERLINK("http://www.patentics.cn/invokexml.do?sf=ShowPatent&amp;spn=US9503134&amp;sv=5e2c38980319d3f32be8cf6ea376a2de","US9503134")</f>
        <v>US9503134</v>
      </c>
      <c r="B2075" s="3" t="s">
        <v>9370</v>
      </c>
      <c r="C2075" s="3" t="s">
        <v>9371</v>
      </c>
      <c r="D2075" s="3" t="s">
        <v>52</v>
      </c>
      <c r="E2075" s="3" t="s">
        <v>52</v>
      </c>
      <c r="F2075" s="3" t="s">
        <v>9372</v>
      </c>
      <c r="G2075" s="3" t="s">
        <v>9373</v>
      </c>
      <c r="H2075" s="3" t="s">
        <v>9374</v>
      </c>
      <c r="I2075" s="3" t="s">
        <v>554</v>
      </c>
      <c r="J2075" s="3" t="s">
        <v>2472</v>
      </c>
      <c r="K2075" s="3" t="s">
        <v>675</v>
      </c>
      <c r="L2075" s="3" t="s">
        <v>9375</v>
      </c>
      <c r="M2075" s="3" t="s">
        <v>84</v>
      </c>
      <c r="N2075" s="3" t="s">
        <v>9376</v>
      </c>
      <c r="O2075" s="3">
        <v>0</v>
      </c>
      <c r="P2075" s="3">
        <v>15</v>
      </c>
      <c r="Q2075" s="3" t="s">
        <v>60</v>
      </c>
      <c r="R2075" s="3" t="s">
        <v>61</v>
      </c>
      <c r="S2075" s="3">
        <v>14</v>
      </c>
      <c r="T2075" s="3">
        <v>1</v>
      </c>
      <c r="U2075" s="3">
        <v>13</v>
      </c>
      <c r="V2075" s="3">
        <v>12</v>
      </c>
      <c r="W2075" s="3">
        <v>0</v>
      </c>
      <c r="X2075" s="3" t="s">
        <v>147</v>
      </c>
      <c r="Y2075" s="3">
        <v>0</v>
      </c>
      <c r="Z2075" s="3">
        <v>0</v>
      </c>
      <c r="AA2075" s="3">
        <v>0</v>
      </c>
      <c r="AB2075" s="3">
        <v>0</v>
      </c>
      <c r="AC2075" s="3">
        <v>5</v>
      </c>
      <c r="AD2075" s="3">
        <v>5</v>
      </c>
      <c r="AE2075" s="3">
        <v>14</v>
      </c>
      <c r="AF2075" s="3" t="s">
        <v>0</v>
      </c>
      <c r="AG2075" s="3" t="s">
        <v>49</v>
      </c>
    </row>
    <row r="2076" spans="1:33" ht="51" x14ac:dyDescent="0.2">
      <c r="A2076" s="4" t="str">
        <f>HYPERLINK("http://www.patentics.cn/invokexml.do?sf=ShowPatent&amp;spn=US20120140778&amp;sv=5c1a6a04b23a67ad1d7785ab6f48c37e","US20120140778")</f>
        <v>US20120140778</v>
      </c>
      <c r="B2076" s="2" t="s">
        <v>9377</v>
      </c>
      <c r="C2076" s="2" t="s">
        <v>9378</v>
      </c>
      <c r="D2076" s="2" t="s">
        <v>346</v>
      </c>
      <c r="E2076" s="2" t="s">
        <v>346</v>
      </c>
      <c r="F2076" s="2" t="s">
        <v>9379</v>
      </c>
      <c r="G2076" s="2" t="s">
        <v>9380</v>
      </c>
      <c r="H2076" s="2" t="s">
        <v>3727</v>
      </c>
      <c r="I2076" s="2" t="s">
        <v>2160</v>
      </c>
      <c r="J2076" s="2" t="s">
        <v>2915</v>
      </c>
      <c r="K2076" s="2" t="s">
        <v>70</v>
      </c>
      <c r="L2076" s="2" t="s">
        <v>9381</v>
      </c>
      <c r="M2076" s="2" t="s">
        <v>0</v>
      </c>
      <c r="N2076" s="2" t="s">
        <v>0</v>
      </c>
      <c r="O2076" s="2">
        <v>20</v>
      </c>
      <c r="P2076" s="2">
        <v>15</v>
      </c>
      <c r="Q2076" s="2" t="s">
        <v>352</v>
      </c>
      <c r="R2076" s="2" t="s">
        <v>47</v>
      </c>
      <c r="S2076" s="2">
        <v>0</v>
      </c>
      <c r="T2076" s="2">
        <v>0</v>
      </c>
      <c r="U2076" s="2">
        <v>0</v>
      </c>
      <c r="V2076" s="2">
        <v>0</v>
      </c>
      <c r="W2076" s="2">
        <v>5</v>
      </c>
      <c r="X2076" s="2" t="s">
        <v>9382</v>
      </c>
      <c r="Y2076" s="2">
        <v>0</v>
      </c>
      <c r="Z2076" s="2">
        <v>5</v>
      </c>
      <c r="AA2076" s="2">
        <v>4</v>
      </c>
      <c r="AB2076" s="2">
        <v>1</v>
      </c>
      <c r="AC2076" s="2">
        <v>8</v>
      </c>
      <c r="AD2076" s="2">
        <v>5</v>
      </c>
      <c r="AE2076" s="2" t="s">
        <v>0</v>
      </c>
      <c r="AF2076" s="2">
        <v>1</v>
      </c>
      <c r="AG2076" s="2" t="s">
        <v>49</v>
      </c>
    </row>
    <row r="2077" spans="1:33" ht="127.5" x14ac:dyDescent="0.2">
      <c r="A2077" s="5" t="str">
        <f>HYPERLINK("http://www.patentics.cn/invokexml.do?sf=ShowPatent&amp;spn=US9264249&amp;sv=1a40f65f8b4d8151e525ac39eb3be910","US9264249")</f>
        <v>US9264249</v>
      </c>
      <c r="B2077" s="3" t="s">
        <v>9383</v>
      </c>
      <c r="C2077" s="3" t="s">
        <v>9384</v>
      </c>
      <c r="D2077" s="3" t="s">
        <v>52</v>
      </c>
      <c r="E2077" s="3" t="s">
        <v>52</v>
      </c>
      <c r="F2077" s="3" t="s">
        <v>9385</v>
      </c>
      <c r="G2077" s="3" t="s">
        <v>2752</v>
      </c>
      <c r="H2077" s="3" t="s">
        <v>7072</v>
      </c>
      <c r="I2077" s="3" t="s">
        <v>4487</v>
      </c>
      <c r="J2077" s="3" t="s">
        <v>664</v>
      </c>
      <c r="K2077" s="3" t="s">
        <v>58</v>
      </c>
      <c r="L2077" s="3" t="s">
        <v>4508</v>
      </c>
      <c r="M2077" s="3" t="s">
        <v>58</v>
      </c>
      <c r="N2077" s="3" t="s">
        <v>1521</v>
      </c>
      <c r="O2077" s="3">
        <v>0</v>
      </c>
      <c r="P2077" s="3">
        <v>17</v>
      </c>
      <c r="Q2077" s="3" t="s">
        <v>60</v>
      </c>
      <c r="R2077" s="3" t="s">
        <v>61</v>
      </c>
      <c r="S2077" s="3">
        <v>17</v>
      </c>
      <c r="T2077" s="3">
        <v>7</v>
      </c>
      <c r="U2077" s="3">
        <v>10</v>
      </c>
      <c r="V2077" s="3">
        <v>7</v>
      </c>
      <c r="W2077" s="3">
        <v>0</v>
      </c>
      <c r="X2077" s="3" t="s">
        <v>147</v>
      </c>
      <c r="Y2077" s="3">
        <v>0</v>
      </c>
      <c r="Z2077" s="3">
        <v>0</v>
      </c>
      <c r="AA2077" s="3">
        <v>0</v>
      </c>
      <c r="AB2077" s="3">
        <v>0</v>
      </c>
      <c r="AC2077" s="3">
        <v>4</v>
      </c>
      <c r="AD2077" s="3">
        <v>4</v>
      </c>
      <c r="AE2077" s="3">
        <v>14</v>
      </c>
      <c r="AF2077" s="3" t="s">
        <v>0</v>
      </c>
      <c r="AG2077" s="3" t="s">
        <v>49</v>
      </c>
    </row>
    <row r="2078" spans="1:33" ht="38.25" x14ac:dyDescent="0.2">
      <c r="A2078" s="4" t="str">
        <f>HYPERLINK("http://www.patentics.cn/invokexml.do?sf=ShowPatent&amp;spn=US20120134311&amp;sv=265107405e089fb13fd0002355de35a7","US20120134311")</f>
        <v>US20120134311</v>
      </c>
      <c r="B2078" s="2" t="s">
        <v>9386</v>
      </c>
      <c r="C2078" s="2" t="s">
        <v>9387</v>
      </c>
      <c r="D2078" s="2" t="s">
        <v>346</v>
      </c>
      <c r="E2078" s="2" t="s">
        <v>346</v>
      </c>
      <c r="F2078" s="2" t="s">
        <v>9388</v>
      </c>
      <c r="G2078" s="2" t="s">
        <v>9389</v>
      </c>
      <c r="H2078" s="2" t="s">
        <v>4572</v>
      </c>
      <c r="I2078" s="2" t="s">
        <v>1139</v>
      </c>
      <c r="J2078" s="2" t="s">
        <v>6700</v>
      </c>
      <c r="K2078" s="2" t="s">
        <v>82</v>
      </c>
      <c r="L2078" s="2" t="s">
        <v>1767</v>
      </c>
      <c r="M2078" s="2" t="s">
        <v>0</v>
      </c>
      <c r="N2078" s="2" t="s">
        <v>0</v>
      </c>
      <c r="O2078" s="2">
        <v>13</v>
      </c>
      <c r="P2078" s="2">
        <v>14</v>
      </c>
      <c r="Q2078" s="2" t="s">
        <v>352</v>
      </c>
      <c r="R2078" s="2" t="s">
        <v>47</v>
      </c>
      <c r="S2078" s="2">
        <v>0</v>
      </c>
      <c r="T2078" s="2">
        <v>0</v>
      </c>
      <c r="U2078" s="2">
        <v>0</v>
      </c>
      <c r="V2078" s="2">
        <v>0</v>
      </c>
      <c r="W2078" s="2">
        <v>1</v>
      </c>
      <c r="X2078" s="2" t="s">
        <v>523</v>
      </c>
      <c r="Y2078" s="2">
        <v>0</v>
      </c>
      <c r="Z2078" s="2">
        <v>1</v>
      </c>
      <c r="AA2078" s="2">
        <v>1</v>
      </c>
      <c r="AB2078" s="2">
        <v>1</v>
      </c>
      <c r="AC2078" s="2">
        <v>5</v>
      </c>
      <c r="AD2078" s="2">
        <v>4</v>
      </c>
      <c r="AE2078" s="2" t="s">
        <v>0</v>
      </c>
      <c r="AF2078" s="2">
        <v>1</v>
      </c>
      <c r="AG2078" s="2" t="s">
        <v>49</v>
      </c>
    </row>
    <row r="2079" spans="1:33" ht="165.75" x14ac:dyDescent="0.2">
      <c r="A2079" s="5" t="str">
        <f>HYPERLINK("http://www.patentics.cn/invokexml.do?sf=ShowPatent&amp;spn=US8724537&amp;sv=df23b603e4e0c9a7861a77b240d8722d","US8724537")</f>
        <v>US8724537</v>
      </c>
      <c r="B2079" s="3" t="s">
        <v>9390</v>
      </c>
      <c r="C2079" s="3" t="s">
        <v>9391</v>
      </c>
      <c r="D2079" s="3" t="s">
        <v>52</v>
      </c>
      <c r="E2079" s="3" t="s">
        <v>52</v>
      </c>
      <c r="F2079" s="3" t="s">
        <v>9392</v>
      </c>
      <c r="G2079" s="3" t="s">
        <v>1227</v>
      </c>
      <c r="H2079" s="3" t="s">
        <v>1520</v>
      </c>
      <c r="I2079" s="3" t="s">
        <v>1520</v>
      </c>
      <c r="J2079" s="3" t="s">
        <v>903</v>
      </c>
      <c r="K2079" s="3" t="s">
        <v>1246</v>
      </c>
      <c r="L2079" s="3" t="s">
        <v>1247</v>
      </c>
      <c r="M2079" s="3" t="s">
        <v>58</v>
      </c>
      <c r="N2079" s="3" t="s">
        <v>904</v>
      </c>
      <c r="O2079" s="3">
        <v>0</v>
      </c>
      <c r="P2079" s="3">
        <v>16</v>
      </c>
      <c r="Q2079" s="3" t="s">
        <v>60</v>
      </c>
      <c r="R2079" s="3" t="s">
        <v>61</v>
      </c>
      <c r="S2079" s="3">
        <v>9</v>
      </c>
      <c r="T2079" s="3">
        <v>1</v>
      </c>
      <c r="U2079" s="3">
        <v>8</v>
      </c>
      <c r="V2079" s="3">
        <v>8</v>
      </c>
      <c r="W2079" s="3">
        <v>1</v>
      </c>
      <c r="X2079" s="3" t="s">
        <v>7247</v>
      </c>
      <c r="Y2079" s="3">
        <v>1</v>
      </c>
      <c r="Z2079" s="3">
        <v>0</v>
      </c>
      <c r="AA2079" s="3">
        <v>1</v>
      </c>
      <c r="AB2079" s="3">
        <v>1</v>
      </c>
      <c r="AC2079" s="3">
        <v>3</v>
      </c>
      <c r="AD2079" s="3">
        <v>2</v>
      </c>
      <c r="AE2079" s="3">
        <v>14</v>
      </c>
      <c r="AF2079" s="3" t="s">
        <v>0</v>
      </c>
      <c r="AG2079" s="3" t="s">
        <v>49</v>
      </c>
    </row>
    <row r="2080" spans="1:33" ht="51" x14ac:dyDescent="0.2">
      <c r="A2080" s="4" t="str">
        <f>HYPERLINK("http://www.patentics.cn/invokexml.do?sf=ShowPatent&amp;spn=US20120129483&amp;sv=3b1cd30c41d5bfd05054fef17fdc165e","US20120129483")</f>
        <v>US20120129483</v>
      </c>
      <c r="B2080" s="2" t="s">
        <v>9393</v>
      </c>
      <c r="C2080" s="2" t="s">
        <v>9394</v>
      </c>
      <c r="D2080" s="2" t="s">
        <v>346</v>
      </c>
      <c r="E2080" s="2" t="s">
        <v>346</v>
      </c>
      <c r="F2080" s="2" t="s">
        <v>9395</v>
      </c>
      <c r="G2080" s="2" t="s">
        <v>6320</v>
      </c>
      <c r="H2080" s="2" t="s">
        <v>7474</v>
      </c>
      <c r="I2080" s="2" t="s">
        <v>9396</v>
      </c>
      <c r="J2080" s="2" t="s">
        <v>3283</v>
      </c>
      <c r="K2080" s="2" t="s">
        <v>82</v>
      </c>
      <c r="L2080" s="2" t="s">
        <v>2425</v>
      </c>
      <c r="M2080" s="2" t="s">
        <v>0</v>
      </c>
      <c r="N2080" s="2" t="s">
        <v>0</v>
      </c>
      <c r="O2080" s="2">
        <v>13</v>
      </c>
      <c r="P2080" s="2">
        <v>18</v>
      </c>
      <c r="Q2080" s="2" t="s">
        <v>352</v>
      </c>
      <c r="R2080" s="2" t="s">
        <v>47</v>
      </c>
      <c r="S2080" s="2">
        <v>0</v>
      </c>
      <c r="T2080" s="2">
        <v>0</v>
      </c>
      <c r="U2080" s="2">
        <v>0</v>
      </c>
      <c r="V2080" s="2">
        <v>0</v>
      </c>
      <c r="W2080" s="2">
        <v>1</v>
      </c>
      <c r="X2080" s="2" t="s">
        <v>189</v>
      </c>
      <c r="Y2080" s="2">
        <v>0</v>
      </c>
      <c r="Z2080" s="2">
        <v>1</v>
      </c>
      <c r="AA2080" s="2">
        <v>1</v>
      </c>
      <c r="AB2080" s="2">
        <v>1</v>
      </c>
      <c r="AC2080" s="2">
        <v>5</v>
      </c>
      <c r="AD2080" s="2">
        <v>4</v>
      </c>
      <c r="AE2080" s="2" t="s">
        <v>0</v>
      </c>
      <c r="AF2080" s="2">
        <v>1</v>
      </c>
      <c r="AG2080" s="2" t="s">
        <v>49</v>
      </c>
    </row>
    <row r="2081" spans="1:33" ht="63.75" x14ac:dyDescent="0.2">
      <c r="A2081" s="5" t="str">
        <f>HYPERLINK("http://www.patentics.cn/invokexml.do?sf=ShowPatent&amp;spn=WO2014014679&amp;sv=77a9c3b950888fbafa04a72b643f75a6","WO2014014679")</f>
        <v>WO2014014679</v>
      </c>
      <c r="B2081" s="3" t="s">
        <v>9397</v>
      </c>
      <c r="C2081" s="3" t="s">
        <v>9398</v>
      </c>
      <c r="D2081" s="3" t="s">
        <v>52</v>
      </c>
      <c r="E2081" s="3" t="s">
        <v>52</v>
      </c>
      <c r="F2081" s="3" t="s">
        <v>9399</v>
      </c>
      <c r="G2081" s="3" t="s">
        <v>9400</v>
      </c>
      <c r="H2081" s="3" t="s">
        <v>4513</v>
      </c>
      <c r="I2081" s="3" t="s">
        <v>9401</v>
      </c>
      <c r="J2081" s="3" t="s">
        <v>4006</v>
      </c>
      <c r="K2081" s="3" t="s">
        <v>82</v>
      </c>
      <c r="L2081" s="3" t="s">
        <v>3986</v>
      </c>
      <c r="M2081" s="3" t="s">
        <v>0</v>
      </c>
      <c r="N2081" s="3" t="s">
        <v>0</v>
      </c>
      <c r="O2081" s="3">
        <v>71</v>
      </c>
      <c r="P2081" s="3">
        <v>17</v>
      </c>
      <c r="Q2081" s="3" t="s">
        <v>352</v>
      </c>
      <c r="R2081" s="3" t="s">
        <v>61</v>
      </c>
      <c r="S2081" s="3">
        <v>5</v>
      </c>
      <c r="T2081" s="3">
        <v>2</v>
      </c>
      <c r="U2081" s="3">
        <v>3</v>
      </c>
      <c r="V2081" s="3">
        <v>4</v>
      </c>
      <c r="W2081" s="3">
        <v>1</v>
      </c>
      <c r="X2081" s="3" t="s">
        <v>108</v>
      </c>
      <c r="Y2081" s="3">
        <v>1</v>
      </c>
      <c r="Z2081" s="3">
        <v>0</v>
      </c>
      <c r="AA2081" s="3">
        <v>1</v>
      </c>
      <c r="AB2081" s="3">
        <v>1</v>
      </c>
      <c r="AC2081" s="3">
        <v>3</v>
      </c>
      <c r="AD2081" s="3">
        <v>4</v>
      </c>
      <c r="AE2081" s="3">
        <v>14</v>
      </c>
      <c r="AF2081" s="3" t="s">
        <v>0</v>
      </c>
      <c r="AG2081" s="3" t="s">
        <v>0</v>
      </c>
    </row>
    <row r="2082" spans="1:33" ht="63.75" x14ac:dyDescent="0.2">
      <c r="A2082" s="4" t="str">
        <f>HYPERLINK("http://www.patentics.cn/invokexml.do?sf=ShowPatent&amp;spn=US20120120915&amp;sv=e41436254e7579589a5660e277cbf1fb","US20120120915")</f>
        <v>US20120120915</v>
      </c>
      <c r="B2082" s="2" t="s">
        <v>9402</v>
      </c>
      <c r="C2082" s="2" t="s">
        <v>9403</v>
      </c>
      <c r="D2082" s="2" t="s">
        <v>346</v>
      </c>
      <c r="E2082" s="2" t="s">
        <v>346</v>
      </c>
      <c r="F2082" s="2" t="s">
        <v>9404</v>
      </c>
      <c r="G2082" s="2" t="s">
        <v>9405</v>
      </c>
      <c r="H2082" s="2" t="s">
        <v>1169</v>
      </c>
      <c r="I2082" s="2" t="s">
        <v>4591</v>
      </c>
      <c r="J2082" s="2" t="s">
        <v>4171</v>
      </c>
      <c r="K2082" s="2" t="s">
        <v>82</v>
      </c>
      <c r="L2082" s="2" t="s">
        <v>177</v>
      </c>
      <c r="M2082" s="2" t="s">
        <v>0</v>
      </c>
      <c r="N2082" s="2" t="s">
        <v>0</v>
      </c>
      <c r="O2082" s="2">
        <v>22</v>
      </c>
      <c r="P2082" s="2">
        <v>15</v>
      </c>
      <c r="Q2082" s="2" t="s">
        <v>352</v>
      </c>
      <c r="R2082" s="2" t="s">
        <v>47</v>
      </c>
      <c r="S2082" s="2">
        <v>0</v>
      </c>
      <c r="T2082" s="2">
        <v>0</v>
      </c>
      <c r="U2082" s="2">
        <v>0</v>
      </c>
      <c r="V2082" s="2">
        <v>0</v>
      </c>
      <c r="W2082" s="2">
        <v>3</v>
      </c>
      <c r="X2082" s="2" t="s">
        <v>1896</v>
      </c>
      <c r="Y2082" s="2">
        <v>0</v>
      </c>
      <c r="Z2082" s="2">
        <v>3</v>
      </c>
      <c r="AA2082" s="2">
        <v>3</v>
      </c>
      <c r="AB2082" s="2">
        <v>1</v>
      </c>
      <c r="AC2082" s="2">
        <v>4</v>
      </c>
      <c r="AD2082" s="2">
        <v>5</v>
      </c>
      <c r="AE2082" s="2" t="s">
        <v>0</v>
      </c>
      <c r="AF2082" s="2">
        <v>1</v>
      </c>
      <c r="AG2082" s="2" t="s">
        <v>2231</v>
      </c>
    </row>
    <row r="2083" spans="1:33" ht="127.5" x14ac:dyDescent="0.2">
      <c r="A2083" s="5" t="str">
        <f>HYPERLINK("http://www.patentics.cn/invokexml.do?sf=ShowPatent&amp;spn=US9119121&amp;sv=d285e42627532c0ecd76230ef76be126","US9119121")</f>
        <v>US9119121</v>
      </c>
      <c r="B2083" s="3" t="s">
        <v>9406</v>
      </c>
      <c r="C2083" s="3" t="s">
        <v>9407</v>
      </c>
      <c r="D2083" s="3" t="s">
        <v>52</v>
      </c>
      <c r="E2083" s="3" t="s">
        <v>52</v>
      </c>
      <c r="F2083" s="3" t="s">
        <v>9408</v>
      </c>
      <c r="G2083" s="3" t="s">
        <v>9409</v>
      </c>
      <c r="H2083" s="3" t="s">
        <v>2725</v>
      </c>
      <c r="I2083" s="3" t="s">
        <v>2725</v>
      </c>
      <c r="J2083" s="3" t="s">
        <v>1085</v>
      </c>
      <c r="K2083" s="3" t="s">
        <v>82</v>
      </c>
      <c r="L2083" s="3" t="s">
        <v>83</v>
      </c>
      <c r="M2083" s="3" t="s">
        <v>0</v>
      </c>
      <c r="N2083" s="3" t="s">
        <v>0</v>
      </c>
      <c r="O2083" s="3">
        <v>0</v>
      </c>
      <c r="P2083" s="3">
        <v>17</v>
      </c>
      <c r="Q2083" s="3" t="s">
        <v>60</v>
      </c>
      <c r="R2083" s="3" t="s">
        <v>61</v>
      </c>
      <c r="S2083" s="3">
        <v>18</v>
      </c>
      <c r="T2083" s="3">
        <v>1</v>
      </c>
      <c r="U2083" s="3">
        <v>17</v>
      </c>
      <c r="V2083" s="3">
        <v>10</v>
      </c>
      <c r="W2083" s="3">
        <v>0</v>
      </c>
      <c r="X2083" s="3" t="s">
        <v>147</v>
      </c>
      <c r="Y2083" s="3">
        <v>0</v>
      </c>
      <c r="Z2083" s="3">
        <v>0</v>
      </c>
      <c r="AA2083" s="3">
        <v>0</v>
      </c>
      <c r="AB2083" s="3">
        <v>0</v>
      </c>
      <c r="AC2083" s="3">
        <v>5</v>
      </c>
      <c r="AD2083" s="3">
        <v>5</v>
      </c>
      <c r="AE2083" s="3">
        <v>14</v>
      </c>
      <c r="AF2083" s="3" t="s">
        <v>0</v>
      </c>
      <c r="AG2083" s="3" t="s">
        <v>49</v>
      </c>
    </row>
    <row r="2084" spans="1:33" ht="51" x14ac:dyDescent="0.2">
      <c r="A2084" s="4" t="str">
        <f>HYPERLINK("http://www.patentics.cn/invokexml.do?sf=ShowPatent&amp;spn=US20120120826&amp;sv=e5faa3c4a383b38c8ca5b3115d341c8d","US20120120826")</f>
        <v>US20120120826</v>
      </c>
      <c r="B2084" s="2" t="s">
        <v>9410</v>
      </c>
      <c r="C2084" s="2" t="s">
        <v>9411</v>
      </c>
      <c r="D2084" s="2" t="s">
        <v>346</v>
      </c>
      <c r="E2084" s="2" t="s">
        <v>346</v>
      </c>
      <c r="F2084" s="2" t="s">
        <v>9412</v>
      </c>
      <c r="G2084" s="2" t="s">
        <v>9413</v>
      </c>
      <c r="H2084" s="2" t="s">
        <v>4250</v>
      </c>
      <c r="I2084" s="2" t="s">
        <v>3393</v>
      </c>
      <c r="J2084" s="2" t="s">
        <v>4171</v>
      </c>
      <c r="K2084" s="2" t="s">
        <v>82</v>
      </c>
      <c r="L2084" s="2" t="s">
        <v>806</v>
      </c>
      <c r="M2084" s="2" t="s">
        <v>0</v>
      </c>
      <c r="N2084" s="2" t="s">
        <v>0</v>
      </c>
      <c r="O2084" s="2">
        <v>11</v>
      </c>
      <c r="P2084" s="2">
        <v>9</v>
      </c>
      <c r="Q2084" s="2" t="s">
        <v>352</v>
      </c>
      <c r="R2084" s="2" t="s">
        <v>47</v>
      </c>
      <c r="S2084" s="2">
        <v>0</v>
      </c>
      <c r="T2084" s="2">
        <v>0</v>
      </c>
      <c r="U2084" s="2">
        <v>0</v>
      </c>
      <c r="V2084" s="2">
        <v>0</v>
      </c>
      <c r="W2084" s="2">
        <v>7</v>
      </c>
      <c r="X2084" s="2" t="s">
        <v>9414</v>
      </c>
      <c r="Y2084" s="2">
        <v>0</v>
      </c>
      <c r="Z2084" s="2">
        <v>7</v>
      </c>
      <c r="AA2084" s="2">
        <v>4</v>
      </c>
      <c r="AB2084" s="2">
        <v>1</v>
      </c>
      <c r="AC2084" s="2">
        <v>4</v>
      </c>
      <c r="AD2084" s="2">
        <v>3</v>
      </c>
      <c r="AE2084" s="2" t="s">
        <v>0</v>
      </c>
      <c r="AF2084" s="2">
        <v>1</v>
      </c>
      <c r="AG2084" s="2" t="s">
        <v>49</v>
      </c>
    </row>
    <row r="2085" spans="1:33" ht="76.5" x14ac:dyDescent="0.2">
      <c r="A2085" s="5" t="str">
        <f>HYPERLINK("http://www.patentics.cn/invokexml.do?sf=ShowPatent&amp;spn=US9204434&amp;sv=a661c8ddd3e8e2fbcc165b4391b27465","US9204434")</f>
        <v>US9204434</v>
      </c>
      <c r="B2085" s="3" t="s">
        <v>9415</v>
      </c>
      <c r="C2085" s="3" t="s">
        <v>9416</v>
      </c>
      <c r="D2085" s="3" t="s">
        <v>52</v>
      </c>
      <c r="E2085" s="3" t="s">
        <v>52</v>
      </c>
      <c r="F2085" s="3" t="s">
        <v>9417</v>
      </c>
      <c r="G2085" s="3" t="s">
        <v>1091</v>
      </c>
      <c r="H2085" s="3" t="s">
        <v>3596</v>
      </c>
      <c r="I2085" s="3" t="s">
        <v>2126</v>
      </c>
      <c r="J2085" s="3" t="s">
        <v>1362</v>
      </c>
      <c r="K2085" s="3" t="s">
        <v>82</v>
      </c>
      <c r="L2085" s="3" t="s">
        <v>244</v>
      </c>
      <c r="M2085" s="3" t="s">
        <v>82</v>
      </c>
      <c r="N2085" s="3" t="s">
        <v>1185</v>
      </c>
      <c r="O2085" s="3">
        <v>0</v>
      </c>
      <c r="P2085" s="3">
        <v>11</v>
      </c>
      <c r="Q2085" s="3" t="s">
        <v>60</v>
      </c>
      <c r="R2085" s="3" t="s">
        <v>61</v>
      </c>
      <c r="S2085" s="3">
        <v>9</v>
      </c>
      <c r="T2085" s="3">
        <v>1</v>
      </c>
      <c r="U2085" s="3">
        <v>8</v>
      </c>
      <c r="V2085" s="3">
        <v>6</v>
      </c>
      <c r="W2085" s="3">
        <v>0</v>
      </c>
      <c r="X2085" s="3" t="s">
        <v>147</v>
      </c>
      <c r="Y2085" s="3">
        <v>0</v>
      </c>
      <c r="Z2085" s="3">
        <v>0</v>
      </c>
      <c r="AA2085" s="3">
        <v>0</v>
      </c>
      <c r="AB2085" s="3">
        <v>0</v>
      </c>
      <c r="AC2085" s="3">
        <v>6</v>
      </c>
      <c r="AD2085" s="3">
        <v>6</v>
      </c>
      <c r="AE2085" s="3">
        <v>14</v>
      </c>
      <c r="AF2085" s="3" t="s">
        <v>0</v>
      </c>
      <c r="AG2085" s="3" t="s">
        <v>49</v>
      </c>
    </row>
    <row r="2086" spans="1:33" ht="38.25" x14ac:dyDescent="0.2">
      <c r="A2086" s="4" t="str">
        <f>HYPERLINK("http://www.patentics.cn/invokexml.do?sf=ShowPatent&amp;spn=US20120106538&amp;sv=6bf9a82b05a6ab49459c3867c437d107","US20120106538")</f>
        <v>US20120106538</v>
      </c>
      <c r="B2086" s="2" t="s">
        <v>9418</v>
      </c>
      <c r="C2086" s="2" t="s">
        <v>9419</v>
      </c>
      <c r="D2086" s="2" t="s">
        <v>346</v>
      </c>
      <c r="E2086" s="2" t="s">
        <v>346</v>
      </c>
      <c r="F2086" s="2" t="s">
        <v>9420</v>
      </c>
      <c r="G2086" s="2" t="s">
        <v>9421</v>
      </c>
      <c r="H2086" s="2" t="s">
        <v>4037</v>
      </c>
      <c r="I2086" s="2" t="s">
        <v>4170</v>
      </c>
      <c r="J2086" s="2" t="s">
        <v>6396</v>
      </c>
      <c r="K2086" s="2" t="s">
        <v>82</v>
      </c>
      <c r="L2086" s="2" t="s">
        <v>2222</v>
      </c>
      <c r="M2086" s="2" t="s">
        <v>0</v>
      </c>
      <c r="N2086" s="2" t="s">
        <v>0</v>
      </c>
      <c r="O2086" s="2">
        <v>20</v>
      </c>
      <c r="P2086" s="2">
        <v>17</v>
      </c>
      <c r="Q2086" s="2" t="s">
        <v>352</v>
      </c>
      <c r="R2086" s="2" t="s">
        <v>47</v>
      </c>
      <c r="S2086" s="2">
        <v>0</v>
      </c>
      <c r="T2086" s="2">
        <v>0</v>
      </c>
      <c r="U2086" s="2">
        <v>0</v>
      </c>
      <c r="V2086" s="2">
        <v>0</v>
      </c>
      <c r="W2086" s="2">
        <v>1</v>
      </c>
      <c r="X2086" s="2" t="s">
        <v>74</v>
      </c>
      <c r="Y2086" s="2">
        <v>0</v>
      </c>
      <c r="Z2086" s="2">
        <v>1</v>
      </c>
      <c r="AA2086" s="2">
        <v>1</v>
      </c>
      <c r="AB2086" s="2">
        <v>1</v>
      </c>
      <c r="AC2086" s="2">
        <v>3</v>
      </c>
      <c r="AD2086" s="2">
        <v>3</v>
      </c>
      <c r="AE2086" s="2" t="s">
        <v>0</v>
      </c>
      <c r="AF2086" s="2">
        <v>1</v>
      </c>
      <c r="AG2086" s="2" t="s">
        <v>49</v>
      </c>
    </row>
    <row r="2087" spans="1:33" ht="25.5" x14ac:dyDescent="0.2">
      <c r="A2087" s="5" t="str">
        <f>HYPERLINK("http://www.patentics.cn/invokexml.do?sf=ShowPatent&amp;spn=US8724548&amp;sv=d1d71e5535592e53663cab06a0e9f3fd","US8724548")</f>
        <v>US8724548</v>
      </c>
      <c r="B2087" s="3" t="s">
        <v>9422</v>
      </c>
      <c r="C2087" s="3" t="s">
        <v>9423</v>
      </c>
      <c r="D2087" s="3" t="s">
        <v>52</v>
      </c>
      <c r="E2087" s="3" t="s">
        <v>52</v>
      </c>
      <c r="F2087" s="3" t="s">
        <v>2623</v>
      </c>
      <c r="G2087" s="3" t="s">
        <v>2623</v>
      </c>
      <c r="H2087" s="3" t="s">
        <v>3223</v>
      </c>
      <c r="I2087" s="3" t="s">
        <v>2312</v>
      </c>
      <c r="J2087" s="3" t="s">
        <v>903</v>
      </c>
      <c r="K2087" s="3" t="s">
        <v>82</v>
      </c>
      <c r="L2087" s="3" t="s">
        <v>2222</v>
      </c>
      <c r="M2087" s="3" t="s">
        <v>58</v>
      </c>
      <c r="N2087" s="3" t="s">
        <v>9424</v>
      </c>
      <c r="O2087" s="3">
        <v>0</v>
      </c>
      <c r="P2087" s="3">
        <v>13</v>
      </c>
      <c r="Q2087" s="3" t="s">
        <v>60</v>
      </c>
      <c r="R2087" s="3" t="s">
        <v>61</v>
      </c>
      <c r="S2087" s="3">
        <v>31</v>
      </c>
      <c r="T2087" s="3">
        <v>5</v>
      </c>
      <c r="U2087" s="3">
        <v>26</v>
      </c>
      <c r="V2087" s="3">
        <v>12</v>
      </c>
      <c r="W2087" s="3">
        <v>0</v>
      </c>
      <c r="X2087" s="3" t="s">
        <v>147</v>
      </c>
      <c r="Y2087" s="3">
        <v>0</v>
      </c>
      <c r="Z2087" s="3">
        <v>0</v>
      </c>
      <c r="AA2087" s="3">
        <v>0</v>
      </c>
      <c r="AB2087" s="3">
        <v>0</v>
      </c>
      <c r="AC2087" s="3">
        <v>2</v>
      </c>
      <c r="AD2087" s="3">
        <v>2</v>
      </c>
      <c r="AE2087" s="3">
        <v>14</v>
      </c>
      <c r="AF2087" s="3" t="s">
        <v>0</v>
      </c>
      <c r="AG2087" s="3" t="s">
        <v>49</v>
      </c>
    </row>
    <row r="2088" spans="1:33" ht="63.75" x14ac:dyDescent="0.2">
      <c r="A2088" s="4" t="str">
        <f>HYPERLINK("http://www.patentics.cn/invokexml.do?sf=ShowPatent&amp;spn=US20120102174&amp;sv=f9418fbaf3571460b00fdf1268e46380","US20120102174")</f>
        <v>US20120102174</v>
      </c>
      <c r="B2088" s="2" t="s">
        <v>9425</v>
      </c>
      <c r="C2088" s="2" t="s">
        <v>9426</v>
      </c>
      <c r="D2088" s="2" t="s">
        <v>346</v>
      </c>
      <c r="E2088" s="2" t="s">
        <v>346</v>
      </c>
      <c r="F2088" s="2" t="s">
        <v>9427</v>
      </c>
      <c r="G2088" s="2" t="s">
        <v>9428</v>
      </c>
      <c r="H2088" s="2" t="s">
        <v>4250</v>
      </c>
      <c r="I2088" s="2" t="s">
        <v>3774</v>
      </c>
      <c r="J2088" s="2" t="s">
        <v>703</v>
      </c>
      <c r="K2088" s="2" t="s">
        <v>555</v>
      </c>
      <c r="L2088" s="2" t="s">
        <v>1553</v>
      </c>
      <c r="M2088" s="2" t="s">
        <v>0</v>
      </c>
      <c r="N2088" s="2" t="s">
        <v>0</v>
      </c>
      <c r="O2088" s="2">
        <v>20</v>
      </c>
      <c r="P2088" s="2">
        <v>17</v>
      </c>
      <c r="Q2088" s="2" t="s">
        <v>352</v>
      </c>
      <c r="R2088" s="2" t="s">
        <v>47</v>
      </c>
      <c r="S2088" s="2">
        <v>0</v>
      </c>
      <c r="T2088" s="2">
        <v>0</v>
      </c>
      <c r="U2088" s="2">
        <v>0</v>
      </c>
      <c r="V2088" s="2">
        <v>0</v>
      </c>
      <c r="W2088" s="2">
        <v>12</v>
      </c>
      <c r="X2088" s="2" t="s">
        <v>4324</v>
      </c>
      <c r="Y2088" s="2">
        <v>2</v>
      </c>
      <c r="Z2088" s="2">
        <v>10</v>
      </c>
      <c r="AA2088" s="2">
        <v>6</v>
      </c>
      <c r="AB2088" s="2">
        <v>1</v>
      </c>
      <c r="AC2088" s="2">
        <v>6</v>
      </c>
      <c r="AD2088" s="2">
        <v>4</v>
      </c>
      <c r="AE2088" s="2" t="s">
        <v>0</v>
      </c>
      <c r="AF2088" s="2">
        <v>1</v>
      </c>
      <c r="AG2088" s="2" t="s">
        <v>49</v>
      </c>
    </row>
    <row r="2089" spans="1:33" ht="89.25" x14ac:dyDescent="0.2">
      <c r="A2089" s="5" t="str">
        <f>HYPERLINK("http://www.patentics.cn/invokexml.do?sf=ShowPatent&amp;spn=US9503970&amp;sv=d86aa608ce1bd937ee6b7cb68831d8d9","US9503970")</f>
        <v>US9503970</v>
      </c>
      <c r="B2089" s="3" t="s">
        <v>9429</v>
      </c>
      <c r="C2089" s="3" t="s">
        <v>9430</v>
      </c>
      <c r="D2089" s="3" t="s">
        <v>52</v>
      </c>
      <c r="E2089" s="3" t="s">
        <v>52</v>
      </c>
      <c r="F2089" s="3" t="s">
        <v>9431</v>
      </c>
      <c r="G2089" s="3" t="s">
        <v>5176</v>
      </c>
      <c r="H2089" s="3" t="s">
        <v>9432</v>
      </c>
      <c r="I2089" s="3" t="s">
        <v>1594</v>
      </c>
      <c r="J2089" s="3" t="s">
        <v>2472</v>
      </c>
      <c r="K2089" s="3" t="s">
        <v>82</v>
      </c>
      <c r="L2089" s="3" t="s">
        <v>1971</v>
      </c>
      <c r="M2089" s="3" t="s">
        <v>82</v>
      </c>
      <c r="N2089" s="3" t="s">
        <v>9433</v>
      </c>
      <c r="O2089" s="3">
        <v>0</v>
      </c>
      <c r="P2089" s="3">
        <v>31</v>
      </c>
      <c r="Q2089" s="3" t="s">
        <v>60</v>
      </c>
      <c r="R2089" s="3" t="s">
        <v>61</v>
      </c>
      <c r="S2089" s="3">
        <v>48</v>
      </c>
      <c r="T2089" s="3">
        <v>1</v>
      </c>
      <c r="U2089" s="3">
        <v>47</v>
      </c>
      <c r="V2089" s="3">
        <v>24</v>
      </c>
      <c r="W2089" s="3">
        <v>0</v>
      </c>
      <c r="X2089" s="3" t="s">
        <v>147</v>
      </c>
      <c r="Y2089" s="3">
        <v>0</v>
      </c>
      <c r="Z2089" s="3">
        <v>0</v>
      </c>
      <c r="AA2089" s="3">
        <v>0</v>
      </c>
      <c r="AB2089" s="3">
        <v>0</v>
      </c>
      <c r="AC2089" s="3">
        <v>20</v>
      </c>
      <c r="AD2089" s="3">
        <v>11</v>
      </c>
      <c r="AE2089" s="3">
        <v>14</v>
      </c>
      <c r="AF2089" s="3" t="s">
        <v>0</v>
      </c>
      <c r="AG2089" s="3" t="s">
        <v>49</v>
      </c>
    </row>
    <row r="2090" spans="1:33" ht="63.75" x14ac:dyDescent="0.2">
      <c r="A2090" s="4" t="str">
        <f>HYPERLINK("http://www.patentics.cn/invokexml.do?sf=ShowPatent&amp;spn=US20120099509&amp;sv=32ec0ec67e03c44d0f967d36b97bd6de","US20120099509")</f>
        <v>US20120099509</v>
      </c>
      <c r="B2090" s="2" t="s">
        <v>9434</v>
      </c>
      <c r="C2090" s="2" t="s">
        <v>9435</v>
      </c>
      <c r="D2090" s="2" t="s">
        <v>346</v>
      </c>
      <c r="E2090" s="2" t="s">
        <v>346</v>
      </c>
      <c r="F2090" s="2" t="s">
        <v>9436</v>
      </c>
      <c r="G2090" s="2" t="s">
        <v>9421</v>
      </c>
      <c r="H2090" s="2" t="s">
        <v>4250</v>
      </c>
      <c r="I2090" s="2" t="s">
        <v>4150</v>
      </c>
      <c r="J2090" s="2" t="s">
        <v>703</v>
      </c>
      <c r="K2090" s="2" t="s">
        <v>82</v>
      </c>
      <c r="L2090" s="2" t="s">
        <v>1767</v>
      </c>
      <c r="M2090" s="2" t="s">
        <v>0</v>
      </c>
      <c r="N2090" s="2" t="s">
        <v>0</v>
      </c>
      <c r="O2090" s="2">
        <v>20</v>
      </c>
      <c r="P2090" s="2">
        <v>20</v>
      </c>
      <c r="Q2090" s="2" t="s">
        <v>352</v>
      </c>
      <c r="R2090" s="2" t="s">
        <v>47</v>
      </c>
      <c r="S2090" s="2">
        <v>0</v>
      </c>
      <c r="T2090" s="2">
        <v>0</v>
      </c>
      <c r="U2090" s="2">
        <v>0</v>
      </c>
      <c r="V2090" s="2">
        <v>0</v>
      </c>
      <c r="W2090" s="2">
        <v>2</v>
      </c>
      <c r="X2090" s="2" t="s">
        <v>189</v>
      </c>
      <c r="Y2090" s="2">
        <v>0</v>
      </c>
      <c r="Z2090" s="2">
        <v>2</v>
      </c>
      <c r="AA2090" s="2">
        <v>2</v>
      </c>
      <c r="AB2090" s="2">
        <v>1</v>
      </c>
      <c r="AC2090" s="2">
        <v>7</v>
      </c>
      <c r="AD2090" s="2">
        <v>6</v>
      </c>
      <c r="AE2090" s="2" t="s">
        <v>0</v>
      </c>
      <c r="AF2090" s="2">
        <v>1</v>
      </c>
      <c r="AG2090" s="2" t="s">
        <v>49</v>
      </c>
    </row>
    <row r="2091" spans="1:33" ht="102" x14ac:dyDescent="0.2">
      <c r="A2091" s="5" t="str">
        <f>HYPERLINK("http://www.patentics.cn/invokexml.do?sf=ShowPatent&amp;spn=US9130726&amp;sv=7f9823d25791657d0b7015088b1373e4","US9130726")</f>
        <v>US9130726</v>
      </c>
      <c r="B2091" s="3" t="s">
        <v>9437</v>
      </c>
      <c r="C2091" s="3" t="s">
        <v>9438</v>
      </c>
      <c r="D2091" s="3" t="s">
        <v>52</v>
      </c>
      <c r="E2091" s="3" t="s">
        <v>52</v>
      </c>
      <c r="F2091" s="3" t="s">
        <v>9439</v>
      </c>
      <c r="G2091" s="3" t="s">
        <v>9440</v>
      </c>
      <c r="H2091" s="3" t="s">
        <v>4877</v>
      </c>
      <c r="I2091" s="3" t="s">
        <v>4877</v>
      </c>
      <c r="J2091" s="3" t="s">
        <v>219</v>
      </c>
      <c r="K2091" s="3" t="s">
        <v>82</v>
      </c>
      <c r="L2091" s="3" t="s">
        <v>83</v>
      </c>
      <c r="M2091" s="3" t="s">
        <v>0</v>
      </c>
      <c r="N2091" s="3" t="s">
        <v>0</v>
      </c>
      <c r="O2091" s="3">
        <v>0</v>
      </c>
      <c r="P2091" s="3">
        <v>15</v>
      </c>
      <c r="Q2091" s="3" t="s">
        <v>60</v>
      </c>
      <c r="R2091" s="3" t="s">
        <v>61</v>
      </c>
      <c r="S2091" s="3">
        <v>23</v>
      </c>
      <c r="T2091" s="3">
        <v>1</v>
      </c>
      <c r="U2091" s="3">
        <v>22</v>
      </c>
      <c r="V2091" s="3">
        <v>11</v>
      </c>
      <c r="W2091" s="3">
        <v>0</v>
      </c>
      <c r="X2091" s="3" t="s">
        <v>147</v>
      </c>
      <c r="Y2091" s="3">
        <v>0</v>
      </c>
      <c r="Z2091" s="3">
        <v>0</v>
      </c>
      <c r="AA2091" s="3">
        <v>0</v>
      </c>
      <c r="AB2091" s="3">
        <v>0</v>
      </c>
      <c r="AC2091" s="3">
        <v>6</v>
      </c>
      <c r="AD2091" s="3">
        <v>6</v>
      </c>
      <c r="AE2091" s="3">
        <v>14</v>
      </c>
      <c r="AF2091" s="3" t="s">
        <v>0</v>
      </c>
      <c r="AG2091" s="3" t="s">
        <v>49</v>
      </c>
    </row>
    <row r="2092" spans="1:33" ht="89.25" x14ac:dyDescent="0.2">
      <c r="A2092" s="4" t="str">
        <f>HYPERLINK("http://www.patentics.cn/invokexml.do?sf=ShowPatent&amp;spn=US20120099452&amp;sv=de9123a73220a557b6dd26f662ef5bb9","US20120099452")</f>
        <v>US20120099452</v>
      </c>
      <c r="B2092" s="2" t="s">
        <v>9441</v>
      </c>
      <c r="C2092" s="2" t="s">
        <v>9442</v>
      </c>
      <c r="D2092" s="2" t="s">
        <v>346</v>
      </c>
      <c r="E2092" s="2" t="s">
        <v>346</v>
      </c>
      <c r="F2092" s="2" t="s">
        <v>9443</v>
      </c>
      <c r="G2092" s="2" t="s">
        <v>6432</v>
      </c>
      <c r="H2092" s="2" t="s">
        <v>4250</v>
      </c>
      <c r="I2092" s="2" t="s">
        <v>1661</v>
      </c>
      <c r="J2092" s="2" t="s">
        <v>703</v>
      </c>
      <c r="K2092" s="2" t="s">
        <v>82</v>
      </c>
      <c r="L2092" s="2" t="s">
        <v>2215</v>
      </c>
      <c r="M2092" s="2" t="s">
        <v>0</v>
      </c>
      <c r="N2092" s="2" t="s">
        <v>0</v>
      </c>
      <c r="O2092" s="2">
        <v>33</v>
      </c>
      <c r="P2092" s="2">
        <v>30</v>
      </c>
      <c r="Q2092" s="2" t="s">
        <v>352</v>
      </c>
      <c r="R2092" s="2" t="s">
        <v>47</v>
      </c>
      <c r="S2092" s="2">
        <v>0</v>
      </c>
      <c r="T2092" s="2">
        <v>0</v>
      </c>
      <c r="U2092" s="2">
        <v>0</v>
      </c>
      <c r="V2092" s="2">
        <v>0</v>
      </c>
      <c r="W2092" s="2">
        <v>16</v>
      </c>
      <c r="X2092" s="2" t="s">
        <v>9444</v>
      </c>
      <c r="Y2092" s="2">
        <v>0</v>
      </c>
      <c r="Z2092" s="2">
        <v>16</v>
      </c>
      <c r="AA2092" s="2">
        <v>9</v>
      </c>
      <c r="AB2092" s="2">
        <v>3</v>
      </c>
      <c r="AC2092" s="2">
        <v>10</v>
      </c>
      <c r="AD2092" s="2">
        <v>7</v>
      </c>
      <c r="AE2092" s="2" t="s">
        <v>0</v>
      </c>
      <c r="AF2092" s="2">
        <v>1</v>
      </c>
      <c r="AG2092" s="2" t="s">
        <v>49</v>
      </c>
    </row>
    <row r="2093" spans="1:33" ht="102" x14ac:dyDescent="0.2">
      <c r="A2093" s="5" t="str">
        <f>HYPERLINK("http://www.patentics.cn/invokexml.do?sf=ShowPatent&amp;spn=US9264930&amp;sv=854743349c5361c33a99c80bafb42532","US9264930")</f>
        <v>US9264930</v>
      </c>
      <c r="B2093" s="3" t="s">
        <v>6441</v>
      </c>
      <c r="C2093" s="3" t="s">
        <v>6442</v>
      </c>
      <c r="D2093" s="3" t="s">
        <v>52</v>
      </c>
      <c r="E2093" s="3" t="s">
        <v>52</v>
      </c>
      <c r="F2093" s="3" t="s">
        <v>6443</v>
      </c>
      <c r="G2093" s="3" t="s">
        <v>6444</v>
      </c>
      <c r="H2093" s="3" t="s">
        <v>6445</v>
      </c>
      <c r="I2093" s="3" t="s">
        <v>93</v>
      </c>
      <c r="J2093" s="3" t="s">
        <v>664</v>
      </c>
      <c r="K2093" s="3" t="s">
        <v>82</v>
      </c>
      <c r="L2093" s="3" t="s">
        <v>2215</v>
      </c>
      <c r="M2093" s="3" t="s">
        <v>82</v>
      </c>
      <c r="N2093" s="3" t="s">
        <v>799</v>
      </c>
      <c r="O2093" s="3">
        <v>0</v>
      </c>
      <c r="P2093" s="3">
        <v>17</v>
      </c>
      <c r="Q2093" s="3" t="s">
        <v>60</v>
      </c>
      <c r="R2093" s="3" t="s">
        <v>61</v>
      </c>
      <c r="S2093" s="3">
        <v>16</v>
      </c>
      <c r="T2093" s="3">
        <v>0</v>
      </c>
      <c r="U2093" s="3">
        <v>16</v>
      </c>
      <c r="V2093" s="3">
        <v>7</v>
      </c>
      <c r="W2093" s="3">
        <v>6</v>
      </c>
      <c r="X2093" s="3" t="s">
        <v>147</v>
      </c>
      <c r="Y2093" s="3">
        <v>0</v>
      </c>
      <c r="Z2093" s="3">
        <v>6</v>
      </c>
      <c r="AA2093" s="3">
        <v>0</v>
      </c>
      <c r="AB2093" s="3">
        <v>1</v>
      </c>
      <c r="AC2093" s="3">
        <v>8</v>
      </c>
      <c r="AD2093" s="3">
        <v>6</v>
      </c>
      <c r="AE2093" s="3">
        <v>14</v>
      </c>
      <c r="AF2093" s="3" t="s">
        <v>0</v>
      </c>
      <c r="AG2093" s="3" t="s">
        <v>49</v>
      </c>
    </row>
    <row r="2094" spans="1:33" ht="38.25" x14ac:dyDescent="0.2">
      <c r="A2094" s="4" t="str">
        <f>HYPERLINK("http://www.patentics.cn/invokexml.do?sf=ShowPatent&amp;spn=US20120093070&amp;sv=db13f0c539dbefb05f2eece7c6ad5f17","US20120093070")</f>
        <v>US20120093070</v>
      </c>
      <c r="B2094" s="2" t="s">
        <v>9445</v>
      </c>
      <c r="C2094" s="2" t="s">
        <v>9446</v>
      </c>
      <c r="D2094" s="2" t="s">
        <v>346</v>
      </c>
      <c r="E2094" s="2" t="s">
        <v>346</v>
      </c>
      <c r="F2094" s="2" t="s">
        <v>9447</v>
      </c>
      <c r="G2094" s="2" t="s">
        <v>4185</v>
      </c>
      <c r="H2094" s="2" t="s">
        <v>9448</v>
      </c>
      <c r="I2094" s="2" t="s">
        <v>6719</v>
      </c>
      <c r="J2094" s="2" t="s">
        <v>1489</v>
      </c>
      <c r="K2094" s="2" t="s">
        <v>82</v>
      </c>
      <c r="L2094" s="2" t="s">
        <v>9449</v>
      </c>
      <c r="M2094" s="2" t="s">
        <v>0</v>
      </c>
      <c r="N2094" s="2" t="s">
        <v>0</v>
      </c>
      <c r="O2094" s="2">
        <v>20</v>
      </c>
      <c r="P2094" s="2">
        <v>23</v>
      </c>
      <c r="Q2094" s="2" t="s">
        <v>352</v>
      </c>
      <c r="R2094" s="2" t="s">
        <v>47</v>
      </c>
      <c r="S2094" s="2">
        <v>0</v>
      </c>
      <c r="T2094" s="2">
        <v>0</v>
      </c>
      <c r="U2094" s="2">
        <v>0</v>
      </c>
      <c r="V2094" s="2">
        <v>0</v>
      </c>
      <c r="W2094" s="2">
        <v>6</v>
      </c>
      <c r="X2094" s="2" t="s">
        <v>4676</v>
      </c>
      <c r="Y2094" s="2">
        <v>0</v>
      </c>
      <c r="Z2094" s="2">
        <v>6</v>
      </c>
      <c r="AA2094" s="2">
        <v>5</v>
      </c>
      <c r="AB2094" s="2">
        <v>1</v>
      </c>
      <c r="AC2094" s="2">
        <v>5</v>
      </c>
      <c r="AD2094" s="2">
        <v>4</v>
      </c>
      <c r="AE2094" s="2" t="s">
        <v>0</v>
      </c>
      <c r="AF2094" s="2">
        <v>1</v>
      </c>
      <c r="AG2094" s="2" t="s">
        <v>49</v>
      </c>
    </row>
    <row r="2095" spans="1:33" ht="51" x14ac:dyDescent="0.2">
      <c r="A2095" s="5" t="str">
        <f>HYPERLINK("http://www.patentics.cn/invokexml.do?sf=ShowPatent&amp;spn=US8817690&amp;sv=2c455c186488361ce69a5fa71b998ef6","US8817690")</f>
        <v>US8817690</v>
      </c>
      <c r="B2095" s="3" t="s">
        <v>9450</v>
      </c>
      <c r="C2095" s="3" t="s">
        <v>9451</v>
      </c>
      <c r="D2095" s="3" t="s">
        <v>52</v>
      </c>
      <c r="E2095" s="3" t="s">
        <v>52</v>
      </c>
      <c r="F2095" s="3" t="s">
        <v>9452</v>
      </c>
      <c r="G2095" s="3" t="s">
        <v>3275</v>
      </c>
      <c r="H2095" s="3" t="s">
        <v>9453</v>
      </c>
      <c r="I2095" s="3" t="s">
        <v>9454</v>
      </c>
      <c r="J2095" s="3" t="s">
        <v>1453</v>
      </c>
      <c r="K2095" s="3" t="s">
        <v>70</v>
      </c>
      <c r="L2095" s="3" t="s">
        <v>9455</v>
      </c>
      <c r="M2095" s="3" t="s">
        <v>82</v>
      </c>
      <c r="N2095" s="3" t="s">
        <v>3233</v>
      </c>
      <c r="O2095" s="3">
        <v>0</v>
      </c>
      <c r="P2095" s="3">
        <v>14</v>
      </c>
      <c r="Q2095" s="3" t="s">
        <v>60</v>
      </c>
      <c r="R2095" s="3" t="s">
        <v>61</v>
      </c>
      <c r="S2095" s="3">
        <v>16</v>
      </c>
      <c r="T2095" s="3">
        <v>0</v>
      </c>
      <c r="U2095" s="3">
        <v>16</v>
      </c>
      <c r="V2095" s="3">
        <v>10</v>
      </c>
      <c r="W2095" s="3">
        <v>0</v>
      </c>
      <c r="X2095" s="3" t="s">
        <v>147</v>
      </c>
      <c r="Y2095" s="3">
        <v>0</v>
      </c>
      <c r="Z2095" s="3">
        <v>0</v>
      </c>
      <c r="AA2095" s="3">
        <v>0</v>
      </c>
      <c r="AB2095" s="3">
        <v>0</v>
      </c>
      <c r="AC2095" s="3">
        <v>6</v>
      </c>
      <c r="AD2095" s="3">
        <v>6</v>
      </c>
      <c r="AE2095" s="3">
        <v>14</v>
      </c>
      <c r="AF2095" s="3" t="s">
        <v>0</v>
      </c>
      <c r="AG2095" s="3" t="s">
        <v>49</v>
      </c>
    </row>
    <row r="2096" spans="1:33" ht="89.25" x14ac:dyDescent="0.2">
      <c r="A2096" s="4" t="str">
        <f>HYPERLINK("http://www.patentics.cn/invokexml.do?sf=ShowPatent&amp;spn=US20120069818&amp;sv=a533ba63ce42135b47235727920d7e27","US20120069818")</f>
        <v>US20120069818</v>
      </c>
      <c r="B2096" s="2" t="s">
        <v>9456</v>
      </c>
      <c r="C2096" s="2" t="s">
        <v>9457</v>
      </c>
      <c r="D2096" s="2" t="s">
        <v>346</v>
      </c>
      <c r="E2096" s="2" t="s">
        <v>346</v>
      </c>
      <c r="F2096" s="2" t="s">
        <v>9458</v>
      </c>
      <c r="G2096" s="2" t="s">
        <v>9459</v>
      </c>
      <c r="H2096" s="2" t="s">
        <v>2564</v>
      </c>
      <c r="I2096" s="2" t="s">
        <v>4966</v>
      </c>
      <c r="J2096" s="2" t="s">
        <v>3435</v>
      </c>
      <c r="K2096" s="2" t="s">
        <v>82</v>
      </c>
      <c r="L2096" s="2" t="s">
        <v>177</v>
      </c>
      <c r="M2096" s="2" t="s">
        <v>0</v>
      </c>
      <c r="N2096" s="2" t="s">
        <v>0</v>
      </c>
      <c r="O2096" s="2">
        <v>18</v>
      </c>
      <c r="P2096" s="2">
        <v>10</v>
      </c>
      <c r="Q2096" s="2" t="s">
        <v>352</v>
      </c>
      <c r="R2096" s="2" t="s">
        <v>47</v>
      </c>
      <c r="S2096" s="2">
        <v>0</v>
      </c>
      <c r="T2096" s="2">
        <v>0</v>
      </c>
      <c r="U2096" s="2">
        <v>0</v>
      </c>
      <c r="V2096" s="2">
        <v>0</v>
      </c>
      <c r="W2096" s="2">
        <v>2</v>
      </c>
      <c r="X2096" s="2" t="s">
        <v>6821</v>
      </c>
      <c r="Y2096" s="2">
        <v>0</v>
      </c>
      <c r="Z2096" s="2">
        <v>2</v>
      </c>
      <c r="AA2096" s="2">
        <v>2</v>
      </c>
      <c r="AB2096" s="2">
        <v>1</v>
      </c>
      <c r="AC2096" s="2">
        <v>3</v>
      </c>
      <c r="AD2096" s="2">
        <v>3</v>
      </c>
      <c r="AE2096" s="2" t="s">
        <v>0</v>
      </c>
      <c r="AF2096" s="2">
        <v>1</v>
      </c>
      <c r="AG2096" s="2" t="s">
        <v>49</v>
      </c>
    </row>
    <row r="2097" spans="1:33" ht="102" x14ac:dyDescent="0.2">
      <c r="A2097" s="5" t="str">
        <f>HYPERLINK("http://www.patentics.cn/invokexml.do?sf=ShowPatent&amp;spn=WO2013149068&amp;sv=7378317f677dfb2cb2a2e7b8f6f88d10","WO2013149068")</f>
        <v>WO2013149068</v>
      </c>
      <c r="B2097" s="3" t="s">
        <v>9460</v>
      </c>
      <c r="C2097" s="3" t="s">
        <v>9461</v>
      </c>
      <c r="D2097" s="3" t="s">
        <v>52</v>
      </c>
      <c r="E2097" s="3" t="s">
        <v>52</v>
      </c>
      <c r="F2097" s="3" t="s">
        <v>9462</v>
      </c>
      <c r="G2097" s="3" t="s">
        <v>9463</v>
      </c>
      <c r="H2097" s="3" t="s">
        <v>5122</v>
      </c>
      <c r="I2097" s="3" t="s">
        <v>9464</v>
      </c>
      <c r="J2097" s="3" t="s">
        <v>5123</v>
      </c>
      <c r="K2097" s="3" t="s">
        <v>84</v>
      </c>
      <c r="L2097" s="3" t="s">
        <v>9465</v>
      </c>
      <c r="M2097" s="3" t="s">
        <v>0</v>
      </c>
      <c r="N2097" s="3" t="s">
        <v>0</v>
      </c>
      <c r="O2097" s="3">
        <v>30</v>
      </c>
      <c r="P2097" s="3">
        <v>9</v>
      </c>
      <c r="Q2097" s="3" t="s">
        <v>352</v>
      </c>
      <c r="R2097" s="3" t="s">
        <v>61</v>
      </c>
      <c r="S2097" s="3">
        <v>5</v>
      </c>
      <c r="T2097" s="3">
        <v>4</v>
      </c>
      <c r="U2097" s="3">
        <v>1</v>
      </c>
      <c r="V2097" s="3">
        <v>2</v>
      </c>
      <c r="W2097" s="3">
        <v>0</v>
      </c>
      <c r="X2097" s="3" t="s">
        <v>147</v>
      </c>
      <c r="Y2097" s="3">
        <v>0</v>
      </c>
      <c r="Z2097" s="3">
        <v>0</v>
      </c>
      <c r="AA2097" s="3">
        <v>0</v>
      </c>
      <c r="AB2097" s="3">
        <v>0</v>
      </c>
      <c r="AC2097" s="3">
        <v>1</v>
      </c>
      <c r="AD2097" s="3">
        <v>2</v>
      </c>
      <c r="AE2097" s="3">
        <v>14</v>
      </c>
      <c r="AF2097" s="3" t="s">
        <v>0</v>
      </c>
      <c r="AG2097" s="3" t="s">
        <v>0</v>
      </c>
    </row>
    <row r="2098" spans="1:33" ht="114.75" x14ac:dyDescent="0.2">
      <c r="A2098" s="4" t="str">
        <f>HYPERLINK("http://www.patentics.cn/invokexml.do?sf=ShowPatent&amp;spn=US20120063384&amp;sv=3bd3d32cfd37bf41f30aa4e8bc5cba99","US20120063384")</f>
        <v>US20120063384</v>
      </c>
      <c r="B2098" s="2" t="s">
        <v>9466</v>
      </c>
      <c r="C2098" s="2" t="s">
        <v>9467</v>
      </c>
      <c r="D2098" s="2" t="s">
        <v>346</v>
      </c>
      <c r="E2098" s="2" t="s">
        <v>346</v>
      </c>
      <c r="F2098" s="2" t="s">
        <v>9468</v>
      </c>
      <c r="G2098" s="2" t="s">
        <v>9469</v>
      </c>
      <c r="H2098" s="2" t="s">
        <v>7881</v>
      </c>
      <c r="I2098" s="2" t="s">
        <v>9470</v>
      </c>
      <c r="J2098" s="2" t="s">
        <v>6648</v>
      </c>
      <c r="K2098" s="2" t="s">
        <v>84</v>
      </c>
      <c r="L2098" s="2" t="s">
        <v>278</v>
      </c>
      <c r="M2098" s="2" t="s">
        <v>0</v>
      </c>
      <c r="N2098" s="2" t="s">
        <v>0</v>
      </c>
      <c r="O2098" s="2">
        <v>21</v>
      </c>
      <c r="P2098" s="2">
        <v>16</v>
      </c>
      <c r="Q2098" s="2" t="s">
        <v>352</v>
      </c>
      <c r="R2098" s="2" t="s">
        <v>47</v>
      </c>
      <c r="S2098" s="2">
        <v>0</v>
      </c>
      <c r="T2098" s="2">
        <v>0</v>
      </c>
      <c r="U2098" s="2">
        <v>0</v>
      </c>
      <c r="V2098" s="2">
        <v>0</v>
      </c>
      <c r="W2098" s="2">
        <v>18</v>
      </c>
      <c r="X2098" s="2" t="s">
        <v>364</v>
      </c>
      <c r="Y2098" s="2">
        <v>2</v>
      </c>
      <c r="Z2098" s="2">
        <v>16</v>
      </c>
      <c r="AA2098" s="2">
        <v>6</v>
      </c>
      <c r="AB2098" s="2">
        <v>1</v>
      </c>
      <c r="AC2098" s="2">
        <v>11</v>
      </c>
      <c r="AD2098" s="2">
        <v>8</v>
      </c>
      <c r="AE2098" s="2" t="s">
        <v>0</v>
      </c>
      <c r="AF2098" s="2">
        <v>1</v>
      </c>
      <c r="AG2098" s="2" t="s">
        <v>49</v>
      </c>
    </row>
    <row r="2099" spans="1:33" ht="63.75" x14ac:dyDescent="0.2">
      <c r="A2099" s="5" t="str">
        <f>HYPERLINK("http://www.patentics.cn/invokexml.do?sf=ShowPatent&amp;spn=US8767684&amp;sv=8c15e2a64af67357295e2a4f43a86d9a","US8767684")</f>
        <v>US8767684</v>
      </c>
      <c r="B2099" s="3" t="s">
        <v>9471</v>
      </c>
      <c r="C2099" s="3" t="s">
        <v>9472</v>
      </c>
      <c r="D2099" s="3" t="s">
        <v>52</v>
      </c>
      <c r="E2099" s="3" t="s">
        <v>52</v>
      </c>
      <c r="F2099" s="3" t="s">
        <v>9473</v>
      </c>
      <c r="G2099" s="3" t="s">
        <v>1091</v>
      </c>
      <c r="H2099" s="3" t="s">
        <v>1567</v>
      </c>
      <c r="I2099" s="3" t="s">
        <v>7673</v>
      </c>
      <c r="J2099" s="3" t="s">
        <v>1544</v>
      </c>
      <c r="K2099" s="3" t="s">
        <v>70</v>
      </c>
      <c r="L2099" s="3" t="s">
        <v>467</v>
      </c>
      <c r="M2099" s="3" t="s">
        <v>58</v>
      </c>
      <c r="N2099" s="3" t="s">
        <v>4314</v>
      </c>
      <c r="O2099" s="3">
        <v>0</v>
      </c>
      <c r="P2099" s="3">
        <v>12</v>
      </c>
      <c r="Q2099" s="3" t="s">
        <v>60</v>
      </c>
      <c r="R2099" s="3" t="s">
        <v>61</v>
      </c>
      <c r="S2099" s="3">
        <v>8</v>
      </c>
      <c r="T2099" s="3">
        <v>0</v>
      </c>
      <c r="U2099" s="3">
        <v>8</v>
      </c>
      <c r="V2099" s="3">
        <v>7</v>
      </c>
      <c r="W2099" s="3">
        <v>0</v>
      </c>
      <c r="X2099" s="3" t="s">
        <v>147</v>
      </c>
      <c r="Y2099" s="3">
        <v>0</v>
      </c>
      <c r="Z2099" s="3">
        <v>0</v>
      </c>
      <c r="AA2099" s="3">
        <v>0</v>
      </c>
      <c r="AB2099" s="3">
        <v>0</v>
      </c>
      <c r="AC2099" s="3">
        <v>7</v>
      </c>
      <c r="AD2099" s="3">
        <v>6</v>
      </c>
      <c r="AE2099" s="3">
        <v>14</v>
      </c>
      <c r="AF2099" s="3" t="s">
        <v>0</v>
      </c>
      <c r="AG2099" s="3" t="s">
        <v>49</v>
      </c>
    </row>
    <row r="2100" spans="1:33" ht="102" x14ac:dyDescent="0.2">
      <c r="A2100" s="4" t="str">
        <f>HYPERLINK("http://www.patentics.cn/invokexml.do?sf=ShowPatent&amp;spn=US20120028661&amp;sv=714d5cfd795d11cac281bf38f7ba98eb","US20120028661")</f>
        <v>US20120028661</v>
      </c>
      <c r="B2100" s="2" t="s">
        <v>9474</v>
      </c>
      <c r="C2100" s="2" t="s">
        <v>9475</v>
      </c>
      <c r="D2100" s="2" t="s">
        <v>1394</v>
      </c>
      <c r="E2100" s="2" t="s">
        <v>1394</v>
      </c>
      <c r="F2100" s="2" t="s">
        <v>9476</v>
      </c>
      <c r="G2100" s="2" t="s">
        <v>1006</v>
      </c>
      <c r="H2100" s="2" t="s">
        <v>5429</v>
      </c>
      <c r="I2100" s="2" t="s">
        <v>2424</v>
      </c>
      <c r="J2100" s="2" t="s">
        <v>1472</v>
      </c>
      <c r="K2100" s="2" t="s">
        <v>82</v>
      </c>
      <c r="L2100" s="2" t="s">
        <v>9477</v>
      </c>
      <c r="M2100" s="2" t="s">
        <v>0</v>
      </c>
      <c r="N2100" s="2" t="s">
        <v>0</v>
      </c>
      <c r="O2100" s="2">
        <v>17</v>
      </c>
      <c r="P2100" s="2">
        <v>20</v>
      </c>
      <c r="Q2100" s="2" t="s">
        <v>352</v>
      </c>
      <c r="R2100" s="2" t="s">
        <v>61</v>
      </c>
      <c r="S2100" s="2">
        <v>1</v>
      </c>
      <c r="T2100" s="2">
        <v>0</v>
      </c>
      <c r="U2100" s="2">
        <v>1</v>
      </c>
      <c r="V2100" s="2">
        <v>0</v>
      </c>
      <c r="W2100" s="2">
        <v>31</v>
      </c>
      <c r="X2100" s="2" t="s">
        <v>9478</v>
      </c>
      <c r="Y2100" s="2">
        <v>0</v>
      </c>
      <c r="Z2100" s="2">
        <v>31</v>
      </c>
      <c r="AA2100" s="2">
        <v>10</v>
      </c>
      <c r="AB2100" s="2">
        <v>3</v>
      </c>
      <c r="AC2100" s="2">
        <v>3</v>
      </c>
      <c r="AD2100" s="2">
        <v>1</v>
      </c>
      <c r="AE2100" s="2" t="s">
        <v>0</v>
      </c>
      <c r="AF2100" s="2">
        <v>1</v>
      </c>
      <c r="AG2100" s="2" t="s">
        <v>49</v>
      </c>
    </row>
    <row r="2101" spans="1:33" ht="63.75" x14ac:dyDescent="0.2">
      <c r="A2101" s="5" t="str">
        <f>HYPERLINK("http://www.patentics.cn/invokexml.do?sf=ShowPatent&amp;spn=US9584994&amp;sv=59f2805bb3d0766d78c9ba528bf3a1d5","US9584994")</f>
        <v>US9584994</v>
      </c>
      <c r="B2101" s="3" t="s">
        <v>9479</v>
      </c>
      <c r="C2101" s="3" t="s">
        <v>9480</v>
      </c>
      <c r="D2101" s="3" t="s">
        <v>52</v>
      </c>
      <c r="E2101" s="3" t="s">
        <v>52</v>
      </c>
      <c r="F2101" s="3" t="s">
        <v>9481</v>
      </c>
      <c r="G2101" s="3" t="s">
        <v>9482</v>
      </c>
      <c r="H2101" s="3" t="s">
        <v>9483</v>
      </c>
      <c r="I2101" s="3" t="s">
        <v>9483</v>
      </c>
      <c r="J2101" s="3" t="s">
        <v>2718</v>
      </c>
      <c r="K2101" s="3" t="s">
        <v>270</v>
      </c>
      <c r="L2101" s="3" t="s">
        <v>4211</v>
      </c>
      <c r="M2101" s="3" t="s">
        <v>82</v>
      </c>
      <c r="N2101" s="3" t="s">
        <v>9484</v>
      </c>
      <c r="O2101" s="3">
        <v>0</v>
      </c>
      <c r="P2101" s="3">
        <v>13</v>
      </c>
      <c r="Q2101" s="3" t="s">
        <v>60</v>
      </c>
      <c r="R2101" s="3" t="s">
        <v>61</v>
      </c>
      <c r="S2101" s="3">
        <v>11</v>
      </c>
      <c r="T2101" s="3">
        <v>1</v>
      </c>
      <c r="U2101" s="3">
        <v>10</v>
      </c>
      <c r="V2101" s="3">
        <v>9</v>
      </c>
      <c r="W2101" s="3">
        <v>0</v>
      </c>
      <c r="X2101" s="3" t="s">
        <v>147</v>
      </c>
      <c r="Y2101" s="3">
        <v>0</v>
      </c>
      <c r="Z2101" s="3">
        <v>0</v>
      </c>
      <c r="AA2101" s="3">
        <v>0</v>
      </c>
      <c r="AB2101" s="3">
        <v>0</v>
      </c>
      <c r="AC2101" s="3">
        <v>2</v>
      </c>
      <c r="AD2101" s="3">
        <v>2</v>
      </c>
      <c r="AE2101" s="3">
        <v>14</v>
      </c>
      <c r="AF2101" s="3" t="s">
        <v>0</v>
      </c>
      <c r="AG2101" s="3" t="s">
        <v>49</v>
      </c>
    </row>
    <row r="2102" spans="1:33" ht="63.75" x14ac:dyDescent="0.2">
      <c r="A2102" s="4" t="str">
        <f>HYPERLINK("http://www.patentics.cn/invokexml.do?sf=ShowPatent&amp;spn=US20120014286&amp;sv=9ddbc2f347f5db0373f68888344fa1fe","US20120014286")</f>
        <v>US20120014286</v>
      </c>
      <c r="B2102" s="2" t="s">
        <v>9485</v>
      </c>
      <c r="C2102" s="2" t="s">
        <v>9486</v>
      </c>
      <c r="D2102" s="2" t="s">
        <v>346</v>
      </c>
      <c r="E2102" s="2" t="s">
        <v>346</v>
      </c>
      <c r="F2102" s="2" t="s">
        <v>9487</v>
      </c>
      <c r="G2102" s="2" t="s">
        <v>9380</v>
      </c>
      <c r="H2102" s="2" t="s">
        <v>9488</v>
      </c>
      <c r="I2102" s="2" t="s">
        <v>4312</v>
      </c>
      <c r="J2102" s="2" t="s">
        <v>475</v>
      </c>
      <c r="K2102" s="2" t="s">
        <v>82</v>
      </c>
      <c r="L2102" s="2" t="s">
        <v>2544</v>
      </c>
      <c r="M2102" s="2" t="s">
        <v>0</v>
      </c>
      <c r="N2102" s="2" t="s">
        <v>0</v>
      </c>
      <c r="O2102" s="2">
        <v>8</v>
      </c>
      <c r="P2102" s="2">
        <v>12</v>
      </c>
      <c r="Q2102" s="2" t="s">
        <v>352</v>
      </c>
      <c r="R2102" s="2" t="s">
        <v>47</v>
      </c>
      <c r="S2102" s="2">
        <v>0</v>
      </c>
      <c r="T2102" s="2">
        <v>0</v>
      </c>
      <c r="U2102" s="2">
        <v>0</v>
      </c>
      <c r="V2102" s="2">
        <v>0</v>
      </c>
      <c r="W2102" s="2">
        <v>14</v>
      </c>
      <c r="X2102" s="2" t="s">
        <v>387</v>
      </c>
      <c r="Y2102" s="2">
        <v>2</v>
      </c>
      <c r="Z2102" s="2">
        <v>12</v>
      </c>
      <c r="AA2102" s="2">
        <v>6</v>
      </c>
      <c r="AB2102" s="2">
        <v>2</v>
      </c>
      <c r="AC2102" s="2">
        <v>5</v>
      </c>
      <c r="AD2102" s="2">
        <v>4</v>
      </c>
      <c r="AE2102" s="2" t="s">
        <v>0</v>
      </c>
      <c r="AF2102" s="2">
        <v>1</v>
      </c>
      <c r="AG2102" s="2" t="s">
        <v>2231</v>
      </c>
    </row>
    <row r="2103" spans="1:33" ht="127.5" x14ac:dyDescent="0.2">
      <c r="A2103" s="5" t="str">
        <f>HYPERLINK("http://www.patentics.cn/invokexml.do?sf=ShowPatent&amp;spn=US9264249&amp;sv=1a40f65f8b4d8151e525ac39eb3be910","US9264249")</f>
        <v>US9264249</v>
      </c>
      <c r="B2103" s="3" t="s">
        <v>9383</v>
      </c>
      <c r="C2103" s="3" t="s">
        <v>9384</v>
      </c>
      <c r="D2103" s="3" t="s">
        <v>52</v>
      </c>
      <c r="E2103" s="3" t="s">
        <v>52</v>
      </c>
      <c r="F2103" s="3" t="s">
        <v>9385</v>
      </c>
      <c r="G2103" s="3" t="s">
        <v>2752</v>
      </c>
      <c r="H2103" s="3" t="s">
        <v>7072</v>
      </c>
      <c r="I2103" s="3" t="s">
        <v>4487</v>
      </c>
      <c r="J2103" s="3" t="s">
        <v>664</v>
      </c>
      <c r="K2103" s="3" t="s">
        <v>58</v>
      </c>
      <c r="L2103" s="3" t="s">
        <v>4508</v>
      </c>
      <c r="M2103" s="3" t="s">
        <v>58</v>
      </c>
      <c r="N2103" s="3" t="s">
        <v>1521</v>
      </c>
      <c r="O2103" s="3">
        <v>0</v>
      </c>
      <c r="P2103" s="3">
        <v>17</v>
      </c>
      <c r="Q2103" s="3" t="s">
        <v>60</v>
      </c>
      <c r="R2103" s="3" t="s">
        <v>61</v>
      </c>
      <c r="S2103" s="3">
        <v>17</v>
      </c>
      <c r="T2103" s="3">
        <v>7</v>
      </c>
      <c r="U2103" s="3">
        <v>10</v>
      </c>
      <c r="V2103" s="3">
        <v>7</v>
      </c>
      <c r="W2103" s="3">
        <v>0</v>
      </c>
      <c r="X2103" s="3" t="s">
        <v>147</v>
      </c>
      <c r="Y2103" s="3">
        <v>0</v>
      </c>
      <c r="Z2103" s="3">
        <v>0</v>
      </c>
      <c r="AA2103" s="3">
        <v>0</v>
      </c>
      <c r="AB2103" s="3">
        <v>0</v>
      </c>
      <c r="AC2103" s="3">
        <v>4</v>
      </c>
      <c r="AD2103" s="3">
        <v>4</v>
      </c>
      <c r="AE2103" s="3">
        <v>14</v>
      </c>
      <c r="AF2103" s="3" t="s">
        <v>0</v>
      </c>
      <c r="AG2103" s="3" t="s">
        <v>49</v>
      </c>
    </row>
    <row r="2104" spans="1:33" ht="76.5" x14ac:dyDescent="0.2">
      <c r="A2104" s="4" t="str">
        <f>HYPERLINK("http://www.patentics.cn/invokexml.do?sf=ShowPatent&amp;spn=US20120008543&amp;sv=a18ce837e48455388bdab5328a42da41","US20120008543")</f>
        <v>US20120008543</v>
      </c>
      <c r="B2104" s="2" t="s">
        <v>9489</v>
      </c>
      <c r="C2104" s="2" t="s">
        <v>9490</v>
      </c>
      <c r="D2104" s="2" t="s">
        <v>346</v>
      </c>
      <c r="E2104" s="2" t="s">
        <v>346</v>
      </c>
      <c r="F2104" s="2" t="s">
        <v>9491</v>
      </c>
      <c r="G2104" s="2" t="s">
        <v>9273</v>
      </c>
      <c r="H2104" s="2" t="s">
        <v>6859</v>
      </c>
      <c r="I2104" s="2" t="s">
        <v>931</v>
      </c>
      <c r="J2104" s="2" t="s">
        <v>2832</v>
      </c>
      <c r="K2104" s="2" t="s">
        <v>82</v>
      </c>
      <c r="L2104" s="2" t="s">
        <v>7700</v>
      </c>
      <c r="M2104" s="2" t="s">
        <v>0</v>
      </c>
      <c r="N2104" s="2" t="s">
        <v>0</v>
      </c>
      <c r="O2104" s="2">
        <v>21</v>
      </c>
      <c r="P2104" s="2">
        <v>14</v>
      </c>
      <c r="Q2104" s="2" t="s">
        <v>352</v>
      </c>
      <c r="R2104" s="2" t="s">
        <v>47</v>
      </c>
      <c r="S2104" s="2">
        <v>0</v>
      </c>
      <c r="T2104" s="2">
        <v>0</v>
      </c>
      <c r="U2104" s="2">
        <v>0</v>
      </c>
      <c r="V2104" s="2">
        <v>0</v>
      </c>
      <c r="W2104" s="2">
        <v>2</v>
      </c>
      <c r="X2104" s="2" t="s">
        <v>670</v>
      </c>
      <c r="Y2104" s="2">
        <v>0</v>
      </c>
      <c r="Z2104" s="2">
        <v>2</v>
      </c>
      <c r="AA2104" s="2">
        <v>2</v>
      </c>
      <c r="AB2104" s="2">
        <v>1</v>
      </c>
      <c r="AC2104" s="2">
        <v>9</v>
      </c>
      <c r="AD2104" s="2">
        <v>7</v>
      </c>
      <c r="AE2104" s="2" t="s">
        <v>0</v>
      </c>
      <c r="AF2104" s="2">
        <v>1</v>
      </c>
      <c r="AG2104" s="2" t="s">
        <v>49</v>
      </c>
    </row>
    <row r="2105" spans="1:33" ht="63.75" x14ac:dyDescent="0.2">
      <c r="A2105" s="5" t="str">
        <f>HYPERLINK("http://www.patentics.cn/invokexml.do?sf=ShowPatent&amp;spn=US9001778&amp;sv=5f1fe9b0d2a32b0ba544256e50619390","US9001778")</f>
        <v>US9001778</v>
      </c>
      <c r="B2105" s="3" t="s">
        <v>6860</v>
      </c>
      <c r="C2105" s="3" t="s">
        <v>6861</v>
      </c>
      <c r="D2105" s="3" t="s">
        <v>52</v>
      </c>
      <c r="E2105" s="3" t="s">
        <v>52</v>
      </c>
      <c r="F2105" s="3" t="s">
        <v>1457</v>
      </c>
      <c r="G2105" s="3" t="s">
        <v>1458</v>
      </c>
      <c r="H2105" s="3" t="s">
        <v>1191</v>
      </c>
      <c r="I2105" s="3" t="s">
        <v>1191</v>
      </c>
      <c r="J2105" s="3" t="s">
        <v>1071</v>
      </c>
      <c r="K2105" s="3" t="s">
        <v>82</v>
      </c>
      <c r="L2105" s="3" t="s">
        <v>83</v>
      </c>
      <c r="M2105" s="3" t="s">
        <v>82</v>
      </c>
      <c r="N2105" s="3" t="s">
        <v>6862</v>
      </c>
      <c r="O2105" s="3">
        <v>0</v>
      </c>
      <c r="P2105" s="3">
        <v>17</v>
      </c>
      <c r="Q2105" s="3" t="s">
        <v>60</v>
      </c>
      <c r="R2105" s="3" t="s">
        <v>61</v>
      </c>
      <c r="S2105" s="3">
        <v>33</v>
      </c>
      <c r="T2105" s="3">
        <v>3</v>
      </c>
      <c r="U2105" s="3">
        <v>30</v>
      </c>
      <c r="V2105" s="3">
        <v>13</v>
      </c>
      <c r="W2105" s="3">
        <v>0</v>
      </c>
      <c r="X2105" s="3" t="s">
        <v>147</v>
      </c>
      <c r="Y2105" s="3">
        <v>0</v>
      </c>
      <c r="Z2105" s="3">
        <v>0</v>
      </c>
      <c r="AA2105" s="3">
        <v>0</v>
      </c>
      <c r="AB2105" s="3">
        <v>0</v>
      </c>
      <c r="AC2105" s="3">
        <v>4</v>
      </c>
      <c r="AD2105" s="3">
        <v>4</v>
      </c>
      <c r="AE2105" s="3">
        <v>14</v>
      </c>
      <c r="AF2105" s="3" t="s">
        <v>0</v>
      </c>
      <c r="AG2105" s="3" t="s">
        <v>49</v>
      </c>
    </row>
    <row r="2106" spans="1:33" ht="38.25" x14ac:dyDescent="0.2">
      <c r="A2106" s="4" t="str">
        <f>HYPERLINK("http://www.patentics.cn/invokexml.do?sf=ShowPatent&amp;spn=US20110296182&amp;sv=4ec1930b59ed1f761d7340c57f03403c","US20110296182")</f>
        <v>US20110296182</v>
      </c>
      <c r="B2106" s="2" t="s">
        <v>9492</v>
      </c>
      <c r="C2106" s="2" t="s">
        <v>9493</v>
      </c>
      <c r="D2106" s="2" t="s">
        <v>346</v>
      </c>
      <c r="E2106" s="2" t="s">
        <v>346</v>
      </c>
      <c r="F2106" s="2" t="s">
        <v>9494</v>
      </c>
      <c r="G2106" s="2" t="s">
        <v>9495</v>
      </c>
      <c r="H2106" s="2" t="s">
        <v>681</v>
      </c>
      <c r="I2106" s="2" t="s">
        <v>3940</v>
      </c>
      <c r="J2106" s="2" t="s">
        <v>4473</v>
      </c>
      <c r="K2106" s="2" t="s">
        <v>555</v>
      </c>
      <c r="L2106" s="2" t="s">
        <v>556</v>
      </c>
      <c r="M2106" s="2" t="s">
        <v>0</v>
      </c>
      <c r="N2106" s="2" t="s">
        <v>0</v>
      </c>
      <c r="O2106" s="2">
        <v>60</v>
      </c>
      <c r="P2106" s="2">
        <v>6</v>
      </c>
      <c r="Q2106" s="2" t="s">
        <v>352</v>
      </c>
      <c r="R2106" s="2" t="s">
        <v>47</v>
      </c>
      <c r="S2106" s="2">
        <v>0</v>
      </c>
      <c r="T2106" s="2">
        <v>0</v>
      </c>
      <c r="U2106" s="2">
        <v>0</v>
      </c>
      <c r="V2106" s="2">
        <v>0</v>
      </c>
      <c r="W2106" s="2">
        <v>27</v>
      </c>
      <c r="X2106" s="2" t="s">
        <v>4928</v>
      </c>
      <c r="Y2106" s="2">
        <v>0</v>
      </c>
      <c r="Z2106" s="2">
        <v>27</v>
      </c>
      <c r="AA2106" s="2">
        <v>9</v>
      </c>
      <c r="AB2106" s="2">
        <v>2</v>
      </c>
      <c r="AC2106" s="2">
        <v>8</v>
      </c>
      <c r="AD2106" s="2">
        <v>5</v>
      </c>
      <c r="AE2106" s="2" t="s">
        <v>0</v>
      </c>
      <c r="AF2106" s="2">
        <v>1</v>
      </c>
      <c r="AG2106" s="2" t="s">
        <v>49</v>
      </c>
    </row>
    <row r="2107" spans="1:33" ht="25.5" x14ac:dyDescent="0.2">
      <c r="A2107" s="5" t="str">
        <f>HYPERLINK("http://www.patentics.cn/invokexml.do?sf=ShowPatent&amp;spn=US9264413&amp;sv=b2e271a5f7f4d2ed9f671d7abf505443","US9264413")</f>
        <v>US9264413</v>
      </c>
      <c r="B2107" s="3" t="s">
        <v>9496</v>
      </c>
      <c r="C2107" s="3" t="s">
        <v>9497</v>
      </c>
      <c r="D2107" s="3" t="s">
        <v>52</v>
      </c>
      <c r="E2107" s="3" t="s">
        <v>52</v>
      </c>
      <c r="F2107" s="3" t="s">
        <v>9498</v>
      </c>
      <c r="G2107" s="3" t="s">
        <v>9498</v>
      </c>
      <c r="H2107" s="3" t="s">
        <v>4501</v>
      </c>
      <c r="I2107" s="3" t="s">
        <v>4192</v>
      </c>
      <c r="J2107" s="3" t="s">
        <v>664</v>
      </c>
      <c r="K2107" s="3" t="s">
        <v>58</v>
      </c>
      <c r="L2107" s="3" t="s">
        <v>722</v>
      </c>
      <c r="M2107" s="3" t="s">
        <v>58</v>
      </c>
      <c r="N2107" s="3" t="s">
        <v>1256</v>
      </c>
      <c r="O2107" s="3">
        <v>0</v>
      </c>
      <c r="P2107" s="3">
        <v>20</v>
      </c>
      <c r="Q2107" s="3" t="s">
        <v>60</v>
      </c>
      <c r="R2107" s="3" t="s">
        <v>61</v>
      </c>
      <c r="S2107" s="3">
        <v>32</v>
      </c>
      <c r="T2107" s="3">
        <v>0</v>
      </c>
      <c r="U2107" s="3">
        <v>32</v>
      </c>
      <c r="V2107" s="3">
        <v>19</v>
      </c>
      <c r="W2107" s="3">
        <v>0</v>
      </c>
      <c r="X2107" s="3" t="s">
        <v>147</v>
      </c>
      <c r="Y2107" s="3">
        <v>0</v>
      </c>
      <c r="Z2107" s="3">
        <v>0</v>
      </c>
      <c r="AA2107" s="3">
        <v>0</v>
      </c>
      <c r="AB2107" s="3">
        <v>0</v>
      </c>
      <c r="AC2107" s="3">
        <v>6</v>
      </c>
      <c r="AD2107" s="3">
        <v>6</v>
      </c>
      <c r="AE2107" s="3">
        <v>14</v>
      </c>
      <c r="AF2107" s="3" t="s">
        <v>0</v>
      </c>
      <c r="AG2107" s="3" t="s">
        <v>49</v>
      </c>
    </row>
    <row r="2108" spans="1:33" ht="38.25" x14ac:dyDescent="0.2">
      <c r="A2108" s="4" t="str">
        <f>HYPERLINK("http://www.patentics.cn/invokexml.do?sf=ShowPatent&amp;spn=US20110286400&amp;sv=453f711cb0ab583210ad5b26e1359334","US20110286400")</f>
        <v>US20110286400</v>
      </c>
      <c r="B2108" s="2" t="s">
        <v>9499</v>
      </c>
      <c r="C2108" s="2" t="s">
        <v>9500</v>
      </c>
      <c r="D2108" s="2" t="s">
        <v>346</v>
      </c>
      <c r="E2108" s="2" t="s">
        <v>346</v>
      </c>
      <c r="F2108" s="2" t="s">
        <v>9501</v>
      </c>
      <c r="G2108" s="2" t="s">
        <v>9501</v>
      </c>
      <c r="H2108" s="2" t="s">
        <v>3232</v>
      </c>
      <c r="I2108" s="2" t="s">
        <v>4966</v>
      </c>
      <c r="J2108" s="2" t="s">
        <v>2905</v>
      </c>
      <c r="K2108" s="2" t="s">
        <v>82</v>
      </c>
      <c r="L2108" s="2" t="s">
        <v>2222</v>
      </c>
      <c r="M2108" s="2" t="s">
        <v>0</v>
      </c>
      <c r="N2108" s="2" t="s">
        <v>0</v>
      </c>
      <c r="O2108" s="2">
        <v>13</v>
      </c>
      <c r="P2108" s="2">
        <v>9</v>
      </c>
      <c r="Q2108" s="2" t="s">
        <v>352</v>
      </c>
      <c r="R2108" s="2" t="s">
        <v>47</v>
      </c>
      <c r="S2108" s="2">
        <v>0</v>
      </c>
      <c r="T2108" s="2">
        <v>0</v>
      </c>
      <c r="U2108" s="2">
        <v>0</v>
      </c>
      <c r="V2108" s="2">
        <v>0</v>
      </c>
      <c r="W2108" s="2">
        <v>1</v>
      </c>
      <c r="X2108" s="2" t="s">
        <v>5030</v>
      </c>
      <c r="Y2108" s="2">
        <v>0</v>
      </c>
      <c r="Z2108" s="2">
        <v>1</v>
      </c>
      <c r="AA2108" s="2">
        <v>1</v>
      </c>
      <c r="AB2108" s="2">
        <v>1</v>
      </c>
      <c r="AC2108" s="2">
        <v>5</v>
      </c>
      <c r="AD2108" s="2">
        <v>4</v>
      </c>
      <c r="AE2108" s="2" t="s">
        <v>0</v>
      </c>
      <c r="AF2108" s="2">
        <v>1</v>
      </c>
      <c r="AG2108" s="2" t="s">
        <v>2231</v>
      </c>
    </row>
    <row r="2109" spans="1:33" ht="127.5" x14ac:dyDescent="0.2">
      <c r="A2109" s="5" t="str">
        <f>HYPERLINK("http://www.patentics.cn/invokexml.do?sf=ShowPatent&amp;spn=WO2015006359&amp;sv=fbd5594406690c0a85d50b52fddb650e","WO2015006359")</f>
        <v>WO2015006359</v>
      </c>
      <c r="B2109" s="3" t="s">
        <v>9502</v>
      </c>
      <c r="C2109" s="3" t="s">
        <v>9503</v>
      </c>
      <c r="D2109" s="3" t="s">
        <v>52</v>
      </c>
      <c r="E2109" s="3" t="s">
        <v>52</v>
      </c>
      <c r="F2109" s="3" t="s">
        <v>9504</v>
      </c>
      <c r="G2109" s="3" t="s">
        <v>9505</v>
      </c>
      <c r="H2109" s="3" t="s">
        <v>9506</v>
      </c>
      <c r="I2109" s="3" t="s">
        <v>1662</v>
      </c>
      <c r="J2109" s="3" t="s">
        <v>5270</v>
      </c>
      <c r="K2109" s="3" t="s">
        <v>82</v>
      </c>
      <c r="L2109" s="3" t="s">
        <v>2222</v>
      </c>
      <c r="M2109" s="3" t="s">
        <v>0</v>
      </c>
      <c r="N2109" s="3" t="s">
        <v>0</v>
      </c>
      <c r="O2109" s="3">
        <v>21</v>
      </c>
      <c r="P2109" s="3">
        <v>9</v>
      </c>
      <c r="Q2109" s="3" t="s">
        <v>352</v>
      </c>
      <c r="R2109" s="3" t="s">
        <v>61</v>
      </c>
      <c r="S2109" s="3">
        <v>2</v>
      </c>
      <c r="T2109" s="3">
        <v>0</v>
      </c>
      <c r="U2109" s="3">
        <v>2</v>
      </c>
      <c r="V2109" s="3">
        <v>2</v>
      </c>
      <c r="W2109" s="3">
        <v>0</v>
      </c>
      <c r="X2109" s="3" t="s">
        <v>147</v>
      </c>
      <c r="Y2109" s="3">
        <v>0</v>
      </c>
      <c r="Z2109" s="3">
        <v>0</v>
      </c>
      <c r="AA2109" s="3">
        <v>0</v>
      </c>
      <c r="AB2109" s="3">
        <v>0</v>
      </c>
      <c r="AC2109" s="3">
        <v>3</v>
      </c>
      <c r="AD2109" s="3">
        <v>4</v>
      </c>
      <c r="AE2109" s="3">
        <v>14</v>
      </c>
      <c r="AF2109" s="3" t="s">
        <v>0</v>
      </c>
      <c r="AG2109" s="3" t="s">
        <v>0</v>
      </c>
    </row>
    <row r="2110" spans="1:33" ht="63.75" x14ac:dyDescent="0.2">
      <c r="A2110" s="4" t="str">
        <f>HYPERLINK("http://www.patentics.cn/invokexml.do?sf=ShowPatent&amp;spn=US20110275404&amp;sv=552e4b8c61d89f9a50c2dd7693be5709","US20110275404")</f>
        <v>US20110275404</v>
      </c>
      <c r="B2110" s="2" t="s">
        <v>9507</v>
      </c>
      <c r="C2110" s="2" t="s">
        <v>9508</v>
      </c>
      <c r="D2110" s="2" t="s">
        <v>346</v>
      </c>
      <c r="E2110" s="2" t="s">
        <v>346</v>
      </c>
      <c r="F2110" s="2" t="s">
        <v>9509</v>
      </c>
      <c r="G2110" s="2" t="s">
        <v>9510</v>
      </c>
      <c r="H2110" s="2" t="s">
        <v>8385</v>
      </c>
      <c r="I2110" s="2" t="s">
        <v>9511</v>
      </c>
      <c r="J2110" s="2" t="s">
        <v>4492</v>
      </c>
      <c r="K2110" s="2" t="s">
        <v>82</v>
      </c>
      <c r="L2110" s="2" t="s">
        <v>1626</v>
      </c>
      <c r="M2110" s="2" t="s">
        <v>0</v>
      </c>
      <c r="N2110" s="2" t="s">
        <v>0</v>
      </c>
      <c r="O2110" s="2">
        <v>15</v>
      </c>
      <c r="P2110" s="2">
        <v>8</v>
      </c>
      <c r="Q2110" s="2" t="s">
        <v>352</v>
      </c>
      <c r="R2110" s="2" t="s">
        <v>47</v>
      </c>
      <c r="S2110" s="2">
        <v>0</v>
      </c>
      <c r="T2110" s="2">
        <v>0</v>
      </c>
      <c r="U2110" s="2">
        <v>0</v>
      </c>
      <c r="V2110" s="2">
        <v>0</v>
      </c>
      <c r="W2110" s="2">
        <v>3</v>
      </c>
      <c r="X2110" s="2" t="s">
        <v>4891</v>
      </c>
      <c r="Y2110" s="2">
        <v>0</v>
      </c>
      <c r="Z2110" s="2">
        <v>3</v>
      </c>
      <c r="AA2110" s="2">
        <v>3</v>
      </c>
      <c r="AB2110" s="2">
        <v>1</v>
      </c>
      <c r="AC2110" s="2">
        <v>8</v>
      </c>
      <c r="AD2110" s="2">
        <v>4</v>
      </c>
      <c r="AE2110" s="2" t="s">
        <v>0</v>
      </c>
      <c r="AF2110" s="2">
        <v>1</v>
      </c>
      <c r="AG2110" s="2" t="s">
        <v>49</v>
      </c>
    </row>
    <row r="2111" spans="1:33" ht="114.75" x14ac:dyDescent="0.2">
      <c r="A2111" s="5" t="str">
        <f>HYPERLINK("http://www.patentics.cn/invokexml.do?sf=ShowPatent&amp;spn=US8537875&amp;sv=d3f5ca1525d4ac476b9ff54c75e6fd2c","US8537875")</f>
        <v>US8537875</v>
      </c>
      <c r="B2111" s="3" t="s">
        <v>9512</v>
      </c>
      <c r="C2111" s="3" t="s">
        <v>9513</v>
      </c>
      <c r="D2111" s="3" t="s">
        <v>52</v>
      </c>
      <c r="E2111" s="3" t="s">
        <v>52</v>
      </c>
      <c r="F2111" s="3" t="s">
        <v>9514</v>
      </c>
      <c r="G2111" s="3" t="s">
        <v>9515</v>
      </c>
      <c r="H2111" s="3" t="s">
        <v>2301</v>
      </c>
      <c r="I2111" s="3" t="s">
        <v>2301</v>
      </c>
      <c r="J2111" s="3" t="s">
        <v>1343</v>
      </c>
      <c r="K2111" s="3" t="s">
        <v>84</v>
      </c>
      <c r="L2111" s="3" t="s">
        <v>310</v>
      </c>
      <c r="M2111" s="3" t="s">
        <v>58</v>
      </c>
      <c r="N2111" s="3" t="s">
        <v>9516</v>
      </c>
      <c r="O2111" s="3">
        <v>0</v>
      </c>
      <c r="P2111" s="3">
        <v>20</v>
      </c>
      <c r="Q2111" s="3" t="s">
        <v>60</v>
      </c>
      <c r="R2111" s="3" t="s">
        <v>61</v>
      </c>
      <c r="S2111" s="3">
        <v>25</v>
      </c>
      <c r="T2111" s="3">
        <v>17</v>
      </c>
      <c r="U2111" s="3">
        <v>8</v>
      </c>
      <c r="V2111" s="3">
        <v>4</v>
      </c>
      <c r="W2111" s="3">
        <v>0</v>
      </c>
      <c r="X2111" s="3" t="s">
        <v>147</v>
      </c>
      <c r="Y2111" s="3">
        <v>0</v>
      </c>
      <c r="Z2111" s="3">
        <v>0</v>
      </c>
      <c r="AA2111" s="3">
        <v>0</v>
      </c>
      <c r="AB2111" s="3">
        <v>0</v>
      </c>
      <c r="AC2111" s="3">
        <v>2</v>
      </c>
      <c r="AD2111" s="3">
        <v>2</v>
      </c>
      <c r="AE2111" s="3">
        <v>14</v>
      </c>
      <c r="AF2111" s="3" t="s">
        <v>0</v>
      </c>
      <c r="AG2111" s="3" t="s">
        <v>49</v>
      </c>
    </row>
    <row r="2112" spans="1:33" ht="38.25" x14ac:dyDescent="0.2">
      <c r="A2112" s="4" t="str">
        <f>HYPERLINK("http://www.patentics.cn/invokexml.do?sf=ShowPatent&amp;spn=US20110250925&amp;sv=63009e927c5e201de41ce7ba3930e408","US20110250925")</f>
        <v>US20110250925</v>
      </c>
      <c r="B2112" s="2" t="s">
        <v>9517</v>
      </c>
      <c r="C2112" s="2" t="s">
        <v>9518</v>
      </c>
      <c r="D2112" s="2" t="s">
        <v>346</v>
      </c>
      <c r="E2112" s="2" t="s">
        <v>346</v>
      </c>
      <c r="F2112" s="2" t="s">
        <v>3221</v>
      </c>
      <c r="G2112" s="2" t="s">
        <v>3221</v>
      </c>
      <c r="H2112" s="2" t="s">
        <v>2295</v>
      </c>
      <c r="I2112" s="2" t="s">
        <v>6344</v>
      </c>
      <c r="J2112" s="2" t="s">
        <v>9519</v>
      </c>
      <c r="K2112" s="2" t="s">
        <v>82</v>
      </c>
      <c r="L2112" s="2" t="s">
        <v>827</v>
      </c>
      <c r="M2112" s="2" t="s">
        <v>0</v>
      </c>
      <c r="N2112" s="2" t="s">
        <v>0</v>
      </c>
      <c r="O2112" s="2">
        <v>10</v>
      </c>
      <c r="P2112" s="2">
        <v>15</v>
      </c>
      <c r="Q2112" s="2" t="s">
        <v>352</v>
      </c>
      <c r="R2112" s="2" t="s">
        <v>47</v>
      </c>
      <c r="S2112" s="2">
        <v>0</v>
      </c>
      <c r="T2112" s="2">
        <v>0</v>
      </c>
      <c r="U2112" s="2">
        <v>0</v>
      </c>
      <c r="V2112" s="2">
        <v>0</v>
      </c>
      <c r="W2112" s="2">
        <v>6</v>
      </c>
      <c r="X2112" s="2" t="s">
        <v>9520</v>
      </c>
      <c r="Y2112" s="2">
        <v>0</v>
      </c>
      <c r="Z2112" s="2">
        <v>6</v>
      </c>
      <c r="AA2112" s="2">
        <v>6</v>
      </c>
      <c r="AB2112" s="2">
        <v>2</v>
      </c>
      <c r="AC2112" s="2">
        <v>11</v>
      </c>
      <c r="AD2112" s="2">
        <v>8</v>
      </c>
      <c r="AE2112" s="2" t="s">
        <v>0</v>
      </c>
      <c r="AF2112" s="2">
        <v>1</v>
      </c>
      <c r="AG2112" s="2" t="s">
        <v>49</v>
      </c>
    </row>
    <row r="2113" spans="1:33" ht="38.25" x14ac:dyDescent="0.2">
      <c r="A2113" s="5" t="str">
        <f>HYPERLINK("http://www.patentics.cn/invokexml.do?sf=ShowPatent&amp;spn=US8908504&amp;sv=5875f529734e6adbd7e7c60a1b05a716","US8908504")</f>
        <v>US8908504</v>
      </c>
      <c r="B2113" s="3" t="s">
        <v>9521</v>
      </c>
      <c r="C2113" s="3" t="s">
        <v>9522</v>
      </c>
      <c r="D2113" s="3" t="s">
        <v>52</v>
      </c>
      <c r="E2113" s="3" t="s">
        <v>52</v>
      </c>
      <c r="F2113" s="3" t="s">
        <v>6790</v>
      </c>
      <c r="G2113" s="3" t="s">
        <v>944</v>
      </c>
      <c r="H2113" s="3" t="s">
        <v>1671</v>
      </c>
      <c r="I2113" s="3" t="s">
        <v>4197</v>
      </c>
      <c r="J2113" s="3" t="s">
        <v>2848</v>
      </c>
      <c r="K2113" s="3" t="s">
        <v>82</v>
      </c>
      <c r="L2113" s="3" t="s">
        <v>806</v>
      </c>
      <c r="M2113" s="3" t="s">
        <v>82</v>
      </c>
      <c r="N2113" s="3" t="s">
        <v>6580</v>
      </c>
      <c r="O2113" s="3">
        <v>0</v>
      </c>
      <c r="P2113" s="3">
        <v>13</v>
      </c>
      <c r="Q2113" s="3" t="s">
        <v>60</v>
      </c>
      <c r="R2113" s="3" t="s">
        <v>61</v>
      </c>
      <c r="S2113" s="3">
        <v>15</v>
      </c>
      <c r="T2113" s="3">
        <v>1</v>
      </c>
      <c r="U2113" s="3">
        <v>14</v>
      </c>
      <c r="V2113" s="3">
        <v>8</v>
      </c>
      <c r="W2113" s="3">
        <v>1</v>
      </c>
      <c r="X2113" s="3" t="s">
        <v>108</v>
      </c>
      <c r="Y2113" s="3">
        <v>0</v>
      </c>
      <c r="Z2113" s="3">
        <v>1</v>
      </c>
      <c r="AA2113" s="3">
        <v>1</v>
      </c>
      <c r="AB2113" s="3">
        <v>1</v>
      </c>
      <c r="AC2113" s="3">
        <v>6</v>
      </c>
      <c r="AD2113" s="3">
        <v>6</v>
      </c>
      <c r="AE2113" s="3">
        <v>14</v>
      </c>
      <c r="AF2113" s="3" t="s">
        <v>0</v>
      </c>
      <c r="AG2113" s="3" t="s">
        <v>49</v>
      </c>
    </row>
    <row r="2114" spans="1:33" ht="127.5" x14ac:dyDescent="0.2">
      <c r="A2114" s="4" t="str">
        <f>HYPERLINK("http://www.patentics.cn/invokexml.do?sf=ShowPatent&amp;spn=US20110188414&amp;sv=b4a56d27d21624141e6be98ec0379bbc","US20110188414")</f>
        <v>US20110188414</v>
      </c>
      <c r="B2114" s="2" t="s">
        <v>9523</v>
      </c>
      <c r="C2114" s="2" t="s">
        <v>9524</v>
      </c>
      <c r="D2114" s="2" t="s">
        <v>346</v>
      </c>
      <c r="E2114" s="2" t="s">
        <v>346</v>
      </c>
      <c r="F2114" s="2" t="s">
        <v>9525</v>
      </c>
      <c r="G2114" s="2" t="s">
        <v>3173</v>
      </c>
      <c r="H2114" s="2" t="s">
        <v>9526</v>
      </c>
      <c r="I2114" s="2" t="s">
        <v>2227</v>
      </c>
      <c r="J2114" s="2" t="s">
        <v>9527</v>
      </c>
      <c r="K2114" s="2" t="s">
        <v>70</v>
      </c>
      <c r="L2114" s="2" t="s">
        <v>5861</v>
      </c>
      <c r="M2114" s="2" t="s">
        <v>0</v>
      </c>
      <c r="N2114" s="2" t="s">
        <v>0</v>
      </c>
      <c r="O2114" s="2">
        <v>24</v>
      </c>
      <c r="P2114" s="2">
        <v>7</v>
      </c>
      <c r="Q2114" s="2" t="s">
        <v>352</v>
      </c>
      <c r="R2114" s="2" t="s">
        <v>47</v>
      </c>
      <c r="S2114" s="2">
        <v>0</v>
      </c>
      <c r="T2114" s="2">
        <v>0</v>
      </c>
      <c r="U2114" s="2">
        <v>0</v>
      </c>
      <c r="V2114" s="2">
        <v>0</v>
      </c>
      <c r="W2114" s="2">
        <v>4</v>
      </c>
      <c r="X2114" s="2" t="s">
        <v>9528</v>
      </c>
      <c r="Y2114" s="2">
        <v>0</v>
      </c>
      <c r="Z2114" s="2">
        <v>4</v>
      </c>
      <c r="AA2114" s="2">
        <v>4</v>
      </c>
      <c r="AB2114" s="2">
        <v>2</v>
      </c>
      <c r="AC2114" s="2">
        <v>6</v>
      </c>
      <c r="AD2114" s="2">
        <v>4</v>
      </c>
      <c r="AE2114" s="2" t="s">
        <v>0</v>
      </c>
      <c r="AF2114" s="2">
        <v>1</v>
      </c>
      <c r="AG2114" s="2" t="s">
        <v>49</v>
      </c>
    </row>
    <row r="2115" spans="1:33" ht="102" x14ac:dyDescent="0.2">
      <c r="A2115" s="5" t="str">
        <f>HYPERLINK("http://www.patentics.cn/invokexml.do?sf=ShowPatent&amp;spn=WO2015047916&amp;sv=0238da7a0472055f4922263c19ab1cb7","WO2015047916")</f>
        <v>WO2015047916</v>
      </c>
      <c r="B2115" s="3" t="s">
        <v>9529</v>
      </c>
      <c r="C2115" s="3" t="s">
        <v>9530</v>
      </c>
      <c r="D2115" s="3" t="s">
        <v>52</v>
      </c>
      <c r="E2115" s="3" t="s">
        <v>52</v>
      </c>
      <c r="F2115" s="3" t="s">
        <v>9531</v>
      </c>
      <c r="G2115" s="3" t="s">
        <v>9532</v>
      </c>
      <c r="H2115" s="3" t="s">
        <v>3603</v>
      </c>
      <c r="I2115" s="3" t="s">
        <v>6653</v>
      </c>
      <c r="J2115" s="3" t="s">
        <v>7024</v>
      </c>
      <c r="K2115" s="3" t="s">
        <v>84</v>
      </c>
      <c r="L2115" s="3" t="s">
        <v>1922</v>
      </c>
      <c r="M2115" s="3" t="s">
        <v>0</v>
      </c>
      <c r="N2115" s="3" t="s">
        <v>0</v>
      </c>
      <c r="O2115" s="3">
        <v>30</v>
      </c>
      <c r="P2115" s="3">
        <v>14</v>
      </c>
      <c r="Q2115" s="3" t="s">
        <v>352</v>
      </c>
      <c r="R2115" s="3" t="s">
        <v>61</v>
      </c>
      <c r="S2115" s="3">
        <v>4</v>
      </c>
      <c r="T2115" s="3">
        <v>0</v>
      </c>
      <c r="U2115" s="3">
        <v>4</v>
      </c>
      <c r="V2115" s="3">
        <v>4</v>
      </c>
      <c r="W2115" s="3">
        <v>0</v>
      </c>
      <c r="X2115" s="3" t="s">
        <v>147</v>
      </c>
      <c r="Y2115" s="3">
        <v>0</v>
      </c>
      <c r="Z2115" s="3">
        <v>0</v>
      </c>
      <c r="AA2115" s="3">
        <v>0</v>
      </c>
      <c r="AB2115" s="3">
        <v>0</v>
      </c>
      <c r="AC2115" s="3">
        <v>8</v>
      </c>
      <c r="AD2115" s="3">
        <v>5</v>
      </c>
      <c r="AE2115" s="3">
        <v>14</v>
      </c>
      <c r="AF2115" s="3" t="s">
        <v>0</v>
      </c>
      <c r="AG2115" s="3" t="s">
        <v>0</v>
      </c>
    </row>
    <row r="2116" spans="1:33" ht="102" x14ac:dyDescent="0.2">
      <c r="A2116" s="4" t="str">
        <f>HYPERLINK("http://www.patentics.cn/invokexml.do?sf=ShowPatent&amp;spn=US20110170519&amp;sv=9f8d09e0e9220ff34fb086a8ddbf9d07","US20110170519")</f>
        <v>US20110170519</v>
      </c>
      <c r="B2116" s="2" t="s">
        <v>9533</v>
      </c>
      <c r="C2116" s="2" t="s">
        <v>9534</v>
      </c>
      <c r="D2116" s="2" t="s">
        <v>346</v>
      </c>
      <c r="E2116" s="2" t="s">
        <v>346</v>
      </c>
      <c r="F2116" s="2" t="s">
        <v>9535</v>
      </c>
      <c r="G2116" s="2" t="s">
        <v>6342</v>
      </c>
      <c r="H2116" s="2" t="s">
        <v>2099</v>
      </c>
      <c r="I2116" s="2" t="s">
        <v>9536</v>
      </c>
      <c r="J2116" s="2" t="s">
        <v>9537</v>
      </c>
      <c r="K2116" s="2" t="s">
        <v>82</v>
      </c>
      <c r="L2116" s="2" t="s">
        <v>911</v>
      </c>
      <c r="M2116" s="2" t="s">
        <v>0</v>
      </c>
      <c r="N2116" s="2" t="s">
        <v>0</v>
      </c>
      <c r="O2116" s="2">
        <v>20</v>
      </c>
      <c r="P2116" s="2">
        <v>12</v>
      </c>
      <c r="Q2116" s="2" t="s">
        <v>352</v>
      </c>
      <c r="R2116" s="2" t="s">
        <v>47</v>
      </c>
      <c r="S2116" s="2">
        <v>0</v>
      </c>
      <c r="T2116" s="2">
        <v>0</v>
      </c>
      <c r="U2116" s="2">
        <v>0</v>
      </c>
      <c r="V2116" s="2">
        <v>0</v>
      </c>
      <c r="W2116" s="2">
        <v>9</v>
      </c>
      <c r="X2116" s="2" t="s">
        <v>412</v>
      </c>
      <c r="Y2116" s="2">
        <v>1</v>
      </c>
      <c r="Z2116" s="2">
        <v>8</v>
      </c>
      <c r="AA2116" s="2">
        <v>6</v>
      </c>
      <c r="AB2116" s="2">
        <v>2</v>
      </c>
      <c r="AC2116" s="2">
        <v>5</v>
      </c>
      <c r="AD2116" s="2">
        <v>4</v>
      </c>
      <c r="AE2116" s="2" t="s">
        <v>0</v>
      </c>
      <c r="AF2116" s="2">
        <v>1</v>
      </c>
      <c r="AG2116" s="2" t="s">
        <v>49</v>
      </c>
    </row>
    <row r="2117" spans="1:33" ht="51" x14ac:dyDescent="0.2">
      <c r="A2117" s="5" t="str">
        <f>HYPERLINK("http://www.patentics.cn/invokexml.do?sf=ShowPatent&amp;spn=US8964536&amp;sv=dae1c0af460784901014341bb18098c0","US8964536")</f>
        <v>US8964536</v>
      </c>
      <c r="B2117" s="3" t="s">
        <v>6586</v>
      </c>
      <c r="C2117" s="3" t="s">
        <v>6587</v>
      </c>
      <c r="D2117" s="3" t="s">
        <v>52</v>
      </c>
      <c r="E2117" s="3" t="s">
        <v>52</v>
      </c>
      <c r="F2117" s="3" t="s">
        <v>6588</v>
      </c>
      <c r="G2117" s="3" t="s">
        <v>6589</v>
      </c>
      <c r="H2117" s="3" t="s">
        <v>3022</v>
      </c>
      <c r="I2117" s="3" t="s">
        <v>6590</v>
      </c>
      <c r="J2117" s="3" t="s">
        <v>805</v>
      </c>
      <c r="K2117" s="3" t="s">
        <v>58</v>
      </c>
      <c r="L2117" s="3" t="s">
        <v>613</v>
      </c>
      <c r="M2117" s="3" t="s">
        <v>82</v>
      </c>
      <c r="N2117" s="3" t="s">
        <v>1052</v>
      </c>
      <c r="O2117" s="3">
        <v>0</v>
      </c>
      <c r="P2117" s="3">
        <v>17</v>
      </c>
      <c r="Q2117" s="3" t="s">
        <v>60</v>
      </c>
      <c r="R2117" s="3" t="s">
        <v>61</v>
      </c>
      <c r="S2117" s="3">
        <v>23</v>
      </c>
      <c r="T2117" s="3">
        <v>2</v>
      </c>
      <c r="U2117" s="3">
        <v>21</v>
      </c>
      <c r="V2117" s="3">
        <v>11</v>
      </c>
      <c r="W2117" s="3">
        <v>1</v>
      </c>
      <c r="X2117" s="3" t="s">
        <v>74</v>
      </c>
      <c r="Y2117" s="3">
        <v>0</v>
      </c>
      <c r="Z2117" s="3">
        <v>1</v>
      </c>
      <c r="AA2117" s="3">
        <v>1</v>
      </c>
      <c r="AB2117" s="3">
        <v>1</v>
      </c>
      <c r="AC2117" s="3">
        <v>9</v>
      </c>
      <c r="AD2117" s="3">
        <v>6</v>
      </c>
      <c r="AE2117" s="3">
        <v>14</v>
      </c>
      <c r="AF2117" s="3" t="s">
        <v>0</v>
      </c>
      <c r="AG2117" s="3" t="s">
        <v>49</v>
      </c>
    </row>
    <row r="2118" spans="1:33" ht="38.25" x14ac:dyDescent="0.2">
      <c r="A2118" s="4" t="str">
        <f>HYPERLINK("http://www.patentics.cn/invokexml.do?sf=ShowPatent&amp;spn=US20110165909&amp;sv=00824bd68699ad7a524a39d580f9691e","US20110165909")</f>
        <v>US20110165909</v>
      </c>
      <c r="B2118" s="2" t="s">
        <v>9538</v>
      </c>
      <c r="C2118" s="2" t="s">
        <v>9539</v>
      </c>
      <c r="D2118" s="2" t="s">
        <v>346</v>
      </c>
      <c r="E2118" s="2" t="s">
        <v>346</v>
      </c>
      <c r="F2118" s="2" t="s">
        <v>4184</v>
      </c>
      <c r="G2118" s="2" t="s">
        <v>4185</v>
      </c>
      <c r="H2118" s="2" t="s">
        <v>2188</v>
      </c>
      <c r="I2118" s="2" t="s">
        <v>9540</v>
      </c>
      <c r="J2118" s="2" t="s">
        <v>182</v>
      </c>
      <c r="K2118" s="2" t="s">
        <v>84</v>
      </c>
      <c r="L2118" s="2" t="s">
        <v>1922</v>
      </c>
      <c r="M2118" s="2" t="s">
        <v>0</v>
      </c>
      <c r="N2118" s="2" t="s">
        <v>0</v>
      </c>
      <c r="O2118" s="2">
        <v>10</v>
      </c>
      <c r="P2118" s="2">
        <v>10</v>
      </c>
      <c r="Q2118" s="2" t="s">
        <v>352</v>
      </c>
      <c r="R2118" s="2" t="s">
        <v>47</v>
      </c>
      <c r="S2118" s="2">
        <v>0</v>
      </c>
      <c r="T2118" s="2">
        <v>0</v>
      </c>
      <c r="U2118" s="2">
        <v>0</v>
      </c>
      <c r="V2118" s="2">
        <v>0</v>
      </c>
      <c r="W2118" s="2">
        <v>11</v>
      </c>
      <c r="X2118" s="2" t="s">
        <v>4860</v>
      </c>
      <c r="Y2118" s="2">
        <v>0</v>
      </c>
      <c r="Z2118" s="2">
        <v>11</v>
      </c>
      <c r="AA2118" s="2">
        <v>4</v>
      </c>
      <c r="AB2118" s="2">
        <v>3</v>
      </c>
      <c r="AC2118" s="2">
        <v>9</v>
      </c>
      <c r="AD2118" s="2">
        <v>7</v>
      </c>
      <c r="AE2118" s="2" t="s">
        <v>0</v>
      </c>
      <c r="AF2118" s="2">
        <v>1</v>
      </c>
      <c r="AG2118" s="2" t="s">
        <v>49</v>
      </c>
    </row>
    <row r="2119" spans="1:33" ht="140.25" x14ac:dyDescent="0.2">
      <c r="A2119" s="5" t="str">
        <f>HYPERLINK("http://www.patentics.cn/invokexml.do?sf=ShowPatent&amp;spn=US9161280&amp;sv=9d7dc2b490477a11d5c81c6796874737","US9161280")</f>
        <v>US9161280</v>
      </c>
      <c r="B2119" s="3" t="s">
        <v>4193</v>
      </c>
      <c r="C2119" s="3" t="s">
        <v>4194</v>
      </c>
      <c r="D2119" s="3" t="s">
        <v>52</v>
      </c>
      <c r="E2119" s="3" t="s">
        <v>52</v>
      </c>
      <c r="F2119" s="3" t="s">
        <v>4195</v>
      </c>
      <c r="G2119" s="3" t="s">
        <v>4196</v>
      </c>
      <c r="H2119" s="3" t="s">
        <v>4197</v>
      </c>
      <c r="I2119" s="3" t="s">
        <v>4198</v>
      </c>
      <c r="J2119" s="3" t="s">
        <v>830</v>
      </c>
      <c r="K2119" s="3" t="s">
        <v>82</v>
      </c>
      <c r="L2119" s="3" t="s">
        <v>4071</v>
      </c>
      <c r="M2119" s="3" t="s">
        <v>82</v>
      </c>
      <c r="N2119" s="3" t="s">
        <v>4058</v>
      </c>
      <c r="O2119" s="3">
        <v>0</v>
      </c>
      <c r="P2119" s="3">
        <v>18</v>
      </c>
      <c r="Q2119" s="3" t="s">
        <v>60</v>
      </c>
      <c r="R2119" s="3" t="s">
        <v>61</v>
      </c>
      <c r="S2119" s="3">
        <v>20</v>
      </c>
      <c r="T2119" s="3">
        <v>3</v>
      </c>
      <c r="U2119" s="3">
        <v>17</v>
      </c>
      <c r="V2119" s="3">
        <v>10</v>
      </c>
      <c r="W2119" s="3">
        <v>12</v>
      </c>
      <c r="X2119" s="3" t="s">
        <v>147</v>
      </c>
      <c r="Y2119" s="3">
        <v>0</v>
      </c>
      <c r="Z2119" s="3">
        <v>12</v>
      </c>
      <c r="AA2119" s="3">
        <v>0</v>
      </c>
      <c r="AB2119" s="3">
        <v>1</v>
      </c>
      <c r="AC2119" s="3">
        <v>4</v>
      </c>
      <c r="AD2119" s="3">
        <v>4</v>
      </c>
      <c r="AE2119" s="3">
        <v>14</v>
      </c>
      <c r="AF2119" s="3" t="s">
        <v>0</v>
      </c>
      <c r="AG2119" s="3" t="s">
        <v>49</v>
      </c>
    </row>
    <row r="2120" spans="1:33" ht="38.25" x14ac:dyDescent="0.2">
      <c r="A2120" s="4" t="str">
        <f>HYPERLINK("http://www.patentics.cn/invokexml.do?sf=ShowPatent&amp;spn=US20110128896&amp;sv=8e9f7b9284fec3885e4243a5f1d39bf6","US20110128896")</f>
        <v>US20110128896</v>
      </c>
      <c r="B2120" s="2" t="s">
        <v>9541</v>
      </c>
      <c r="C2120" s="2" t="s">
        <v>9542</v>
      </c>
      <c r="D2120" s="2" t="s">
        <v>346</v>
      </c>
      <c r="E2120" s="2" t="s">
        <v>346</v>
      </c>
      <c r="F2120" s="2" t="s">
        <v>9543</v>
      </c>
      <c r="G2120" s="2" t="s">
        <v>4185</v>
      </c>
      <c r="H2120" s="2" t="s">
        <v>2294</v>
      </c>
      <c r="I2120" s="2" t="s">
        <v>2295</v>
      </c>
      <c r="J2120" s="2" t="s">
        <v>7801</v>
      </c>
      <c r="K2120" s="2" t="s">
        <v>82</v>
      </c>
      <c r="L2120" s="2" t="s">
        <v>244</v>
      </c>
      <c r="M2120" s="2" t="s">
        <v>0</v>
      </c>
      <c r="N2120" s="2" t="s">
        <v>0</v>
      </c>
      <c r="O2120" s="2">
        <v>30</v>
      </c>
      <c r="P2120" s="2">
        <v>5</v>
      </c>
      <c r="Q2120" s="2" t="s">
        <v>352</v>
      </c>
      <c r="R2120" s="2" t="s">
        <v>47</v>
      </c>
      <c r="S2120" s="2">
        <v>0</v>
      </c>
      <c r="T2120" s="2">
        <v>0</v>
      </c>
      <c r="U2120" s="2">
        <v>0</v>
      </c>
      <c r="V2120" s="2">
        <v>0</v>
      </c>
      <c r="W2120" s="2">
        <v>19</v>
      </c>
      <c r="X2120" s="2" t="s">
        <v>9544</v>
      </c>
      <c r="Y2120" s="2">
        <v>0</v>
      </c>
      <c r="Z2120" s="2">
        <v>19</v>
      </c>
      <c r="AA2120" s="2">
        <v>6</v>
      </c>
      <c r="AB2120" s="2">
        <v>3</v>
      </c>
      <c r="AC2120" s="2">
        <v>12</v>
      </c>
      <c r="AD2120" s="2">
        <v>7</v>
      </c>
      <c r="AE2120" s="2" t="s">
        <v>0</v>
      </c>
      <c r="AF2120" s="2">
        <v>1</v>
      </c>
      <c r="AG2120" s="2" t="s">
        <v>49</v>
      </c>
    </row>
    <row r="2121" spans="1:33" ht="102" x14ac:dyDescent="0.2">
      <c r="A2121" s="5" t="str">
        <f>HYPERLINK("http://www.patentics.cn/invokexml.do?sf=ShowPatent&amp;spn=US9264208&amp;sv=d5efd9c3a6ee797f23e797a334721fb1","US9264208")</f>
        <v>US9264208</v>
      </c>
      <c r="B2121" s="3" t="s">
        <v>9545</v>
      </c>
      <c r="C2121" s="3" t="s">
        <v>9546</v>
      </c>
      <c r="D2121" s="3" t="s">
        <v>52</v>
      </c>
      <c r="E2121" s="3" t="s">
        <v>52</v>
      </c>
      <c r="F2121" s="3" t="s">
        <v>9547</v>
      </c>
      <c r="G2121" s="3" t="s">
        <v>1091</v>
      </c>
      <c r="H2121" s="3" t="s">
        <v>9548</v>
      </c>
      <c r="I2121" s="3" t="s">
        <v>4815</v>
      </c>
      <c r="J2121" s="3" t="s">
        <v>664</v>
      </c>
      <c r="K2121" s="3" t="s">
        <v>82</v>
      </c>
      <c r="L2121" s="3" t="s">
        <v>244</v>
      </c>
      <c r="M2121" s="3" t="s">
        <v>58</v>
      </c>
      <c r="N2121" s="3" t="s">
        <v>9549</v>
      </c>
      <c r="O2121" s="3">
        <v>0</v>
      </c>
      <c r="P2121" s="3">
        <v>22</v>
      </c>
      <c r="Q2121" s="3" t="s">
        <v>60</v>
      </c>
      <c r="R2121" s="3" t="s">
        <v>61</v>
      </c>
      <c r="S2121" s="3">
        <v>17</v>
      </c>
      <c r="T2121" s="3">
        <v>3</v>
      </c>
      <c r="U2121" s="3">
        <v>14</v>
      </c>
      <c r="V2121" s="3">
        <v>11</v>
      </c>
      <c r="W2121" s="3">
        <v>0</v>
      </c>
      <c r="X2121" s="3" t="s">
        <v>147</v>
      </c>
      <c r="Y2121" s="3">
        <v>0</v>
      </c>
      <c r="Z2121" s="3">
        <v>0</v>
      </c>
      <c r="AA2121" s="3">
        <v>0</v>
      </c>
      <c r="AB2121" s="3">
        <v>0</v>
      </c>
      <c r="AC2121" s="3">
        <v>10</v>
      </c>
      <c r="AD2121" s="3">
        <v>8</v>
      </c>
      <c r="AE2121" s="3">
        <v>14</v>
      </c>
      <c r="AF2121" s="3" t="s">
        <v>0</v>
      </c>
      <c r="AG2121" s="3" t="s">
        <v>49</v>
      </c>
    </row>
    <row r="2122" spans="1:33" ht="76.5" x14ac:dyDescent="0.2">
      <c r="A2122" s="4" t="str">
        <f>HYPERLINK("http://www.patentics.cn/invokexml.do?sf=ShowPatent&amp;spn=US20110103406&amp;sv=8bc9ca6546b478007672d62402fdc21c","US20110103406")</f>
        <v>US20110103406</v>
      </c>
      <c r="B2122" s="2" t="s">
        <v>9550</v>
      </c>
      <c r="C2122" s="2" t="s">
        <v>4235</v>
      </c>
      <c r="D2122" s="2" t="s">
        <v>346</v>
      </c>
      <c r="E2122" s="2" t="s">
        <v>346</v>
      </c>
      <c r="F2122" s="2" t="s">
        <v>9551</v>
      </c>
      <c r="G2122" s="2" t="s">
        <v>9552</v>
      </c>
      <c r="H2122" s="2" t="s">
        <v>883</v>
      </c>
      <c r="I2122" s="2" t="s">
        <v>604</v>
      </c>
      <c r="J2122" s="2" t="s">
        <v>2881</v>
      </c>
      <c r="K2122" s="2" t="s">
        <v>70</v>
      </c>
      <c r="L2122" s="2" t="s">
        <v>264</v>
      </c>
      <c r="M2122" s="2" t="s">
        <v>0</v>
      </c>
      <c r="N2122" s="2" t="s">
        <v>0</v>
      </c>
      <c r="O2122" s="2">
        <v>6</v>
      </c>
      <c r="P2122" s="2">
        <v>9</v>
      </c>
      <c r="Q2122" s="2" t="s">
        <v>352</v>
      </c>
      <c r="R2122" s="2" t="s">
        <v>61</v>
      </c>
      <c r="S2122" s="2">
        <v>1</v>
      </c>
      <c r="T2122" s="2">
        <v>1</v>
      </c>
      <c r="U2122" s="2">
        <v>0</v>
      </c>
      <c r="V2122" s="2">
        <v>1</v>
      </c>
      <c r="W2122" s="2">
        <v>15</v>
      </c>
      <c r="X2122" s="2" t="s">
        <v>8562</v>
      </c>
      <c r="Y2122" s="2">
        <v>0</v>
      </c>
      <c r="Z2122" s="2">
        <v>15</v>
      </c>
      <c r="AA2122" s="2">
        <v>8</v>
      </c>
      <c r="AB2122" s="2">
        <v>1</v>
      </c>
      <c r="AC2122" s="2">
        <v>18</v>
      </c>
      <c r="AD2122" s="2">
        <v>6</v>
      </c>
      <c r="AE2122" s="2" t="s">
        <v>0</v>
      </c>
      <c r="AF2122" s="2">
        <v>1</v>
      </c>
      <c r="AG2122" s="2" t="s">
        <v>49</v>
      </c>
    </row>
    <row r="2123" spans="1:33" ht="38.25" x14ac:dyDescent="0.2">
      <c r="A2123" s="5" t="str">
        <f>HYPERLINK("http://www.patentics.cn/invokexml.do?sf=ShowPatent&amp;spn=US8160491&amp;sv=86baf644a5873635df24336bdf9e42c1","US8160491")</f>
        <v>US8160491</v>
      </c>
      <c r="B2123" s="3" t="s">
        <v>9553</v>
      </c>
      <c r="C2123" s="3" t="s">
        <v>9554</v>
      </c>
      <c r="D2123" s="3" t="s">
        <v>52</v>
      </c>
      <c r="E2123" s="3" t="s">
        <v>52</v>
      </c>
      <c r="F2123" s="3" t="s">
        <v>9555</v>
      </c>
      <c r="G2123" s="3" t="s">
        <v>9556</v>
      </c>
      <c r="H2123" s="3" t="s">
        <v>3566</v>
      </c>
      <c r="I2123" s="3" t="s">
        <v>4349</v>
      </c>
      <c r="J2123" s="3" t="s">
        <v>4289</v>
      </c>
      <c r="K2123" s="3" t="s">
        <v>84</v>
      </c>
      <c r="L2123" s="3" t="s">
        <v>9557</v>
      </c>
      <c r="M2123" s="3" t="s">
        <v>70</v>
      </c>
      <c r="N2123" s="3" t="s">
        <v>9558</v>
      </c>
      <c r="O2123" s="3">
        <v>0</v>
      </c>
      <c r="P2123" s="3">
        <v>17</v>
      </c>
      <c r="Q2123" s="3" t="s">
        <v>60</v>
      </c>
      <c r="R2123" s="3" t="s">
        <v>61</v>
      </c>
      <c r="S2123" s="3">
        <v>15</v>
      </c>
      <c r="T2123" s="3">
        <v>1</v>
      </c>
      <c r="U2123" s="3">
        <v>14</v>
      </c>
      <c r="V2123" s="3">
        <v>9</v>
      </c>
      <c r="W2123" s="3">
        <v>2</v>
      </c>
      <c r="X2123" s="3" t="s">
        <v>933</v>
      </c>
      <c r="Y2123" s="3">
        <v>0</v>
      </c>
      <c r="Z2123" s="3">
        <v>2</v>
      </c>
      <c r="AA2123" s="3">
        <v>2</v>
      </c>
      <c r="AB2123" s="3">
        <v>1</v>
      </c>
      <c r="AC2123" s="3">
        <v>6</v>
      </c>
      <c r="AD2123" s="3">
        <v>4</v>
      </c>
      <c r="AE2123" s="3">
        <v>14</v>
      </c>
      <c r="AF2123" s="3" t="s">
        <v>0</v>
      </c>
      <c r="AG2123" s="3" t="s">
        <v>49</v>
      </c>
    </row>
    <row r="2124" spans="1:33" ht="89.25" x14ac:dyDescent="0.2">
      <c r="A2124" s="4" t="str">
        <f>HYPERLINK("http://www.patentics.cn/invokexml.do?sf=ShowPatent&amp;spn=US20110103340&amp;sv=9dbc11ab00549137b04a38ac2b4adf54","US20110103340")</f>
        <v>US20110103340</v>
      </c>
      <c r="B2124" s="2" t="s">
        <v>9559</v>
      </c>
      <c r="C2124" s="2" t="s">
        <v>9560</v>
      </c>
      <c r="D2124" s="2" t="s">
        <v>346</v>
      </c>
      <c r="E2124" s="2" t="s">
        <v>346</v>
      </c>
      <c r="F2124" s="2" t="s">
        <v>9561</v>
      </c>
      <c r="G2124" s="2" t="s">
        <v>9562</v>
      </c>
      <c r="H2124" s="2" t="s">
        <v>3443</v>
      </c>
      <c r="I2124" s="2" t="s">
        <v>5478</v>
      </c>
      <c r="J2124" s="2" t="s">
        <v>2881</v>
      </c>
      <c r="K2124" s="2" t="s">
        <v>82</v>
      </c>
      <c r="L2124" s="2" t="s">
        <v>9563</v>
      </c>
      <c r="M2124" s="2" t="s">
        <v>0</v>
      </c>
      <c r="N2124" s="2" t="s">
        <v>0</v>
      </c>
      <c r="O2124" s="2">
        <v>13</v>
      </c>
      <c r="P2124" s="2">
        <v>7</v>
      </c>
      <c r="Q2124" s="2" t="s">
        <v>352</v>
      </c>
      <c r="R2124" s="2" t="s">
        <v>47</v>
      </c>
      <c r="S2124" s="2">
        <v>0</v>
      </c>
      <c r="T2124" s="2">
        <v>0</v>
      </c>
      <c r="U2124" s="2">
        <v>0</v>
      </c>
      <c r="V2124" s="2">
        <v>0</v>
      </c>
      <c r="W2124" s="2">
        <v>11</v>
      </c>
      <c r="X2124" s="2" t="s">
        <v>9564</v>
      </c>
      <c r="Y2124" s="2">
        <v>1</v>
      </c>
      <c r="Z2124" s="2">
        <v>10</v>
      </c>
      <c r="AA2124" s="2">
        <v>5</v>
      </c>
      <c r="AB2124" s="2">
        <v>2</v>
      </c>
      <c r="AC2124" s="2">
        <v>6</v>
      </c>
      <c r="AD2124" s="2">
        <v>4</v>
      </c>
      <c r="AE2124" s="2" t="s">
        <v>0</v>
      </c>
      <c r="AF2124" s="2">
        <v>1</v>
      </c>
      <c r="AG2124" s="2" t="s">
        <v>49</v>
      </c>
    </row>
    <row r="2125" spans="1:33" ht="127.5" x14ac:dyDescent="0.2">
      <c r="A2125" s="5" t="str">
        <f>HYPERLINK("http://www.patentics.cn/invokexml.do?sf=ShowPatent&amp;spn=US8611306&amp;sv=dd9869f4add07e73eaaf3bb81da7a4ef","US8611306")</f>
        <v>US8611306</v>
      </c>
      <c r="B2125" s="3" t="s">
        <v>9565</v>
      </c>
      <c r="C2125" s="3" t="s">
        <v>9566</v>
      </c>
      <c r="D2125" s="3" t="s">
        <v>52</v>
      </c>
      <c r="E2125" s="3" t="s">
        <v>52</v>
      </c>
      <c r="F2125" s="3" t="s">
        <v>9567</v>
      </c>
      <c r="G2125" s="3" t="s">
        <v>956</v>
      </c>
      <c r="H2125" s="3" t="s">
        <v>4383</v>
      </c>
      <c r="I2125" s="3" t="s">
        <v>3174</v>
      </c>
      <c r="J2125" s="3" t="s">
        <v>144</v>
      </c>
      <c r="K2125" s="3" t="s">
        <v>82</v>
      </c>
      <c r="L2125" s="3" t="s">
        <v>177</v>
      </c>
      <c r="M2125" s="3" t="s">
        <v>82</v>
      </c>
      <c r="N2125" s="3" t="s">
        <v>9568</v>
      </c>
      <c r="O2125" s="3">
        <v>0</v>
      </c>
      <c r="P2125" s="3">
        <v>13</v>
      </c>
      <c r="Q2125" s="3" t="s">
        <v>60</v>
      </c>
      <c r="R2125" s="3" t="s">
        <v>61</v>
      </c>
      <c r="S2125" s="3">
        <v>7</v>
      </c>
      <c r="T2125" s="3">
        <v>0</v>
      </c>
      <c r="U2125" s="3">
        <v>7</v>
      </c>
      <c r="V2125" s="3">
        <v>6</v>
      </c>
      <c r="W2125" s="3">
        <v>0</v>
      </c>
      <c r="X2125" s="3" t="s">
        <v>147</v>
      </c>
      <c r="Y2125" s="3">
        <v>0</v>
      </c>
      <c r="Z2125" s="3">
        <v>0</v>
      </c>
      <c r="AA2125" s="3">
        <v>0</v>
      </c>
      <c r="AB2125" s="3">
        <v>0</v>
      </c>
      <c r="AC2125" s="3">
        <v>4</v>
      </c>
      <c r="AD2125" s="3">
        <v>3</v>
      </c>
      <c r="AE2125" s="3">
        <v>14</v>
      </c>
      <c r="AF2125" s="3" t="s">
        <v>0</v>
      </c>
      <c r="AG2125" s="3" t="s">
        <v>49</v>
      </c>
    </row>
    <row r="2126" spans="1:33" ht="89.25" x14ac:dyDescent="0.2">
      <c r="A2126" s="4" t="str">
        <f>HYPERLINK("http://www.patentics.cn/invokexml.do?sf=ShowPatent&amp;spn=US20110090863&amp;sv=23e84a54a85dd6f810bb4c2112f6c948","US20110090863")</f>
        <v>US20110090863</v>
      </c>
      <c r="B2126" s="2" t="s">
        <v>9569</v>
      </c>
      <c r="C2126" s="2" t="s">
        <v>9570</v>
      </c>
      <c r="D2126" s="2" t="s">
        <v>346</v>
      </c>
      <c r="E2126" s="2" t="s">
        <v>346</v>
      </c>
      <c r="F2126" s="2" t="s">
        <v>9571</v>
      </c>
      <c r="G2126" s="2" t="s">
        <v>9413</v>
      </c>
      <c r="H2126" s="2" t="s">
        <v>9572</v>
      </c>
      <c r="I2126" s="2" t="s">
        <v>3154</v>
      </c>
      <c r="J2126" s="2" t="s">
        <v>9573</v>
      </c>
      <c r="K2126" s="2" t="s">
        <v>82</v>
      </c>
      <c r="L2126" s="2" t="s">
        <v>244</v>
      </c>
      <c r="M2126" s="2" t="s">
        <v>0</v>
      </c>
      <c r="N2126" s="2" t="s">
        <v>0</v>
      </c>
      <c r="O2126" s="2">
        <v>8</v>
      </c>
      <c r="P2126" s="2">
        <v>14</v>
      </c>
      <c r="Q2126" s="2" t="s">
        <v>352</v>
      </c>
      <c r="R2126" s="2" t="s">
        <v>47</v>
      </c>
      <c r="S2126" s="2">
        <v>0</v>
      </c>
      <c r="T2126" s="2">
        <v>0</v>
      </c>
      <c r="U2126" s="2">
        <v>0</v>
      </c>
      <c r="V2126" s="2">
        <v>0</v>
      </c>
      <c r="W2126" s="2">
        <v>2</v>
      </c>
      <c r="X2126" s="2" t="s">
        <v>9574</v>
      </c>
      <c r="Y2126" s="2">
        <v>0</v>
      </c>
      <c r="Z2126" s="2">
        <v>2</v>
      </c>
      <c r="AA2126" s="2">
        <v>2</v>
      </c>
      <c r="AB2126" s="2">
        <v>2</v>
      </c>
      <c r="AC2126" s="2">
        <v>6</v>
      </c>
      <c r="AD2126" s="2">
        <v>4</v>
      </c>
      <c r="AE2126" s="2" t="s">
        <v>0</v>
      </c>
      <c r="AF2126" s="2">
        <v>1</v>
      </c>
      <c r="AG2126" s="2" t="s">
        <v>49</v>
      </c>
    </row>
    <row r="2127" spans="1:33" ht="114.75" x14ac:dyDescent="0.2">
      <c r="A2127" s="5" t="str">
        <f>HYPERLINK("http://www.patentics.cn/invokexml.do?sf=ShowPatent&amp;spn=US8265642&amp;sv=2efdc5768f3b6c56168a7a2178f819ce","US8265642")</f>
        <v>US8265642</v>
      </c>
      <c r="B2127" s="3" t="s">
        <v>9575</v>
      </c>
      <c r="C2127" s="3" t="s">
        <v>9576</v>
      </c>
      <c r="D2127" s="3" t="s">
        <v>52</v>
      </c>
      <c r="E2127" s="3" t="s">
        <v>52</v>
      </c>
      <c r="F2127" s="3" t="s">
        <v>9577</v>
      </c>
      <c r="G2127" s="3" t="s">
        <v>2752</v>
      </c>
      <c r="H2127" s="3" t="s">
        <v>1307</v>
      </c>
      <c r="I2127" s="3" t="s">
        <v>6428</v>
      </c>
      <c r="J2127" s="3" t="s">
        <v>1330</v>
      </c>
      <c r="K2127" s="3" t="s">
        <v>82</v>
      </c>
      <c r="L2127" s="3" t="s">
        <v>226</v>
      </c>
      <c r="M2127" s="3" t="s">
        <v>82</v>
      </c>
      <c r="N2127" s="3" t="s">
        <v>9578</v>
      </c>
      <c r="O2127" s="3">
        <v>0</v>
      </c>
      <c r="P2127" s="3">
        <v>11</v>
      </c>
      <c r="Q2127" s="3" t="s">
        <v>60</v>
      </c>
      <c r="R2127" s="3" t="s">
        <v>61</v>
      </c>
      <c r="S2127" s="3">
        <v>7</v>
      </c>
      <c r="T2127" s="3">
        <v>1</v>
      </c>
      <c r="U2127" s="3">
        <v>6</v>
      </c>
      <c r="V2127" s="3">
        <v>5</v>
      </c>
      <c r="W2127" s="3">
        <v>1</v>
      </c>
      <c r="X2127" s="3" t="s">
        <v>74</v>
      </c>
      <c r="Y2127" s="3">
        <v>1</v>
      </c>
      <c r="Z2127" s="3">
        <v>0</v>
      </c>
      <c r="AA2127" s="3">
        <v>1</v>
      </c>
      <c r="AB2127" s="3">
        <v>1</v>
      </c>
      <c r="AC2127" s="3">
        <v>3</v>
      </c>
      <c r="AD2127" s="3">
        <v>3</v>
      </c>
      <c r="AE2127" s="3">
        <v>14</v>
      </c>
      <c r="AF2127" s="3" t="s">
        <v>0</v>
      </c>
      <c r="AG2127" s="3" t="s">
        <v>755</v>
      </c>
    </row>
    <row r="2128" spans="1:33" ht="25.5" x14ac:dyDescent="0.2">
      <c r="A2128" s="4" t="str">
        <f>HYPERLINK("http://www.patentics.cn/invokexml.do?sf=ShowPatent&amp;spn=US20110085496&amp;sv=7b0a6ebc998c669ef05f0f3b6d189622","US20110085496")</f>
        <v>US20110085496</v>
      </c>
      <c r="B2128" s="2" t="s">
        <v>9579</v>
      </c>
      <c r="C2128" s="2" t="s">
        <v>9580</v>
      </c>
      <c r="D2128" s="2" t="s">
        <v>346</v>
      </c>
      <c r="E2128" s="2" t="s">
        <v>346</v>
      </c>
      <c r="F2128" s="2" t="s">
        <v>1196</v>
      </c>
      <c r="G2128" s="2" t="s">
        <v>1196</v>
      </c>
      <c r="H2128" s="2" t="s">
        <v>9581</v>
      </c>
      <c r="I2128" s="2" t="s">
        <v>9582</v>
      </c>
      <c r="J2128" s="2" t="s">
        <v>2301</v>
      </c>
      <c r="K2128" s="2" t="s">
        <v>82</v>
      </c>
      <c r="L2128" s="2" t="s">
        <v>226</v>
      </c>
      <c r="M2128" s="2" t="s">
        <v>0</v>
      </c>
      <c r="N2128" s="2" t="s">
        <v>0</v>
      </c>
      <c r="O2128" s="2">
        <v>14</v>
      </c>
      <c r="P2128" s="2">
        <v>17</v>
      </c>
      <c r="Q2128" s="2" t="s">
        <v>352</v>
      </c>
      <c r="R2128" s="2" t="s">
        <v>47</v>
      </c>
      <c r="S2128" s="2">
        <v>0</v>
      </c>
      <c r="T2128" s="2">
        <v>0</v>
      </c>
      <c r="U2128" s="2">
        <v>0</v>
      </c>
      <c r="V2128" s="2">
        <v>0</v>
      </c>
      <c r="W2128" s="2">
        <v>10</v>
      </c>
      <c r="X2128" s="2" t="s">
        <v>4669</v>
      </c>
      <c r="Y2128" s="2">
        <v>0</v>
      </c>
      <c r="Z2128" s="2">
        <v>10</v>
      </c>
      <c r="AA2128" s="2">
        <v>3</v>
      </c>
      <c r="AB2128" s="2">
        <v>2</v>
      </c>
      <c r="AC2128" s="2">
        <v>10</v>
      </c>
      <c r="AD2128" s="2">
        <v>6</v>
      </c>
      <c r="AE2128" s="2" t="s">
        <v>0</v>
      </c>
      <c r="AF2128" s="2">
        <v>1</v>
      </c>
      <c r="AG2128" s="2" t="s">
        <v>49</v>
      </c>
    </row>
    <row r="2129" spans="1:33" ht="89.25" x14ac:dyDescent="0.2">
      <c r="A2129" s="5" t="str">
        <f>HYPERLINK("http://www.patentics.cn/invokexml.do?sf=ShowPatent&amp;spn=US9294235&amp;sv=dbd8854ffec6229613d813890ec1c3a7","US9294235")</f>
        <v>US9294235</v>
      </c>
      <c r="B2129" s="3" t="s">
        <v>9170</v>
      </c>
      <c r="C2129" s="3" t="s">
        <v>9171</v>
      </c>
      <c r="D2129" s="3" t="s">
        <v>52</v>
      </c>
      <c r="E2129" s="3" t="s">
        <v>52</v>
      </c>
      <c r="F2129" s="3" t="s">
        <v>9172</v>
      </c>
      <c r="G2129" s="3" t="s">
        <v>1113</v>
      </c>
      <c r="H2129" s="3" t="s">
        <v>6699</v>
      </c>
      <c r="I2129" s="3" t="s">
        <v>694</v>
      </c>
      <c r="J2129" s="3" t="s">
        <v>696</v>
      </c>
      <c r="K2129" s="3" t="s">
        <v>82</v>
      </c>
      <c r="L2129" s="3" t="s">
        <v>83</v>
      </c>
      <c r="M2129" s="3" t="s">
        <v>58</v>
      </c>
      <c r="N2129" s="3" t="s">
        <v>9173</v>
      </c>
      <c r="O2129" s="3">
        <v>0</v>
      </c>
      <c r="P2129" s="3">
        <v>17</v>
      </c>
      <c r="Q2129" s="3" t="s">
        <v>60</v>
      </c>
      <c r="R2129" s="3" t="s">
        <v>61</v>
      </c>
      <c r="S2129" s="3">
        <v>26</v>
      </c>
      <c r="T2129" s="3">
        <v>3</v>
      </c>
      <c r="U2129" s="3">
        <v>23</v>
      </c>
      <c r="V2129" s="3">
        <v>15</v>
      </c>
      <c r="W2129" s="3">
        <v>6</v>
      </c>
      <c r="X2129" s="3" t="s">
        <v>147</v>
      </c>
      <c r="Y2129" s="3">
        <v>0</v>
      </c>
      <c r="Z2129" s="3">
        <v>6</v>
      </c>
      <c r="AA2129" s="3">
        <v>0</v>
      </c>
      <c r="AB2129" s="3">
        <v>1</v>
      </c>
      <c r="AC2129" s="3">
        <v>9</v>
      </c>
      <c r="AD2129" s="3">
        <v>8</v>
      </c>
      <c r="AE2129" s="3">
        <v>14</v>
      </c>
      <c r="AF2129" s="3" t="s">
        <v>0</v>
      </c>
      <c r="AG2129" s="3" t="s">
        <v>49</v>
      </c>
    </row>
    <row r="2130" spans="1:33" ht="38.25" x14ac:dyDescent="0.2">
      <c r="A2130" s="4" t="str">
        <f>HYPERLINK("http://www.patentics.cn/invokexml.do?sf=ShowPatent&amp;spn=US20110058513&amp;sv=bd4fd494b087a2870c9b68ea2c8e27f7","US20110058513")</f>
        <v>US20110058513</v>
      </c>
      <c r="B2130" s="2" t="s">
        <v>9583</v>
      </c>
      <c r="C2130" s="2" t="s">
        <v>9584</v>
      </c>
      <c r="D2130" s="2" t="s">
        <v>346</v>
      </c>
      <c r="E2130" s="2" t="s">
        <v>346</v>
      </c>
      <c r="F2130" s="2" t="s">
        <v>9585</v>
      </c>
      <c r="G2130" s="2" t="s">
        <v>9277</v>
      </c>
      <c r="H2130" s="2" t="s">
        <v>492</v>
      </c>
      <c r="I2130" s="2" t="s">
        <v>3807</v>
      </c>
      <c r="J2130" s="2" t="s">
        <v>1692</v>
      </c>
      <c r="K2130" s="2" t="s">
        <v>82</v>
      </c>
      <c r="L2130" s="2" t="s">
        <v>1767</v>
      </c>
      <c r="M2130" s="2" t="s">
        <v>0</v>
      </c>
      <c r="N2130" s="2" t="s">
        <v>0</v>
      </c>
      <c r="O2130" s="2">
        <v>14</v>
      </c>
      <c r="P2130" s="2">
        <v>21</v>
      </c>
      <c r="Q2130" s="2" t="s">
        <v>352</v>
      </c>
      <c r="R2130" s="2" t="s">
        <v>47</v>
      </c>
      <c r="S2130" s="2">
        <v>0</v>
      </c>
      <c r="T2130" s="2">
        <v>0</v>
      </c>
      <c r="U2130" s="2">
        <v>0</v>
      </c>
      <c r="V2130" s="2">
        <v>0</v>
      </c>
      <c r="W2130" s="2">
        <v>4</v>
      </c>
      <c r="X2130" s="2" t="s">
        <v>1642</v>
      </c>
      <c r="Y2130" s="2">
        <v>0</v>
      </c>
      <c r="Z2130" s="2">
        <v>4</v>
      </c>
      <c r="AA2130" s="2">
        <v>3</v>
      </c>
      <c r="AB2130" s="2">
        <v>1</v>
      </c>
      <c r="AC2130" s="2">
        <v>9</v>
      </c>
      <c r="AD2130" s="2">
        <v>6</v>
      </c>
      <c r="AE2130" s="2" t="s">
        <v>0</v>
      </c>
      <c r="AF2130" s="2">
        <v>1</v>
      </c>
      <c r="AG2130" s="2" t="s">
        <v>49</v>
      </c>
    </row>
    <row r="2131" spans="1:33" ht="127.5" x14ac:dyDescent="0.2">
      <c r="A2131" s="5" t="str">
        <f>HYPERLINK("http://www.patentics.cn/invokexml.do?sf=ShowPatent&amp;spn=US9173192&amp;sv=70bdbf2bab09968acda5e74ec0d0df3d","US9173192")</f>
        <v>US9173192</v>
      </c>
      <c r="B2131" s="3" t="s">
        <v>6779</v>
      </c>
      <c r="C2131" s="3" t="s">
        <v>6780</v>
      </c>
      <c r="D2131" s="3" t="s">
        <v>52</v>
      </c>
      <c r="E2131" s="3" t="s">
        <v>52</v>
      </c>
      <c r="F2131" s="3" t="s">
        <v>6781</v>
      </c>
      <c r="G2131" s="3" t="s">
        <v>2752</v>
      </c>
      <c r="H2131" s="3" t="s">
        <v>1390</v>
      </c>
      <c r="I2131" s="3" t="s">
        <v>6648</v>
      </c>
      <c r="J2131" s="3" t="s">
        <v>263</v>
      </c>
      <c r="K2131" s="3" t="s">
        <v>82</v>
      </c>
      <c r="L2131" s="3" t="s">
        <v>2457</v>
      </c>
      <c r="M2131" s="3" t="s">
        <v>82</v>
      </c>
      <c r="N2131" s="3" t="s">
        <v>1420</v>
      </c>
      <c r="O2131" s="3">
        <v>0</v>
      </c>
      <c r="P2131" s="3">
        <v>18</v>
      </c>
      <c r="Q2131" s="3" t="s">
        <v>60</v>
      </c>
      <c r="R2131" s="3" t="s">
        <v>61</v>
      </c>
      <c r="S2131" s="3">
        <v>22</v>
      </c>
      <c r="T2131" s="3">
        <v>0</v>
      </c>
      <c r="U2131" s="3">
        <v>22</v>
      </c>
      <c r="V2131" s="3">
        <v>13</v>
      </c>
      <c r="W2131" s="3">
        <v>0</v>
      </c>
      <c r="X2131" s="3" t="s">
        <v>147</v>
      </c>
      <c r="Y2131" s="3">
        <v>0</v>
      </c>
      <c r="Z2131" s="3">
        <v>0</v>
      </c>
      <c r="AA2131" s="3">
        <v>0</v>
      </c>
      <c r="AB2131" s="3">
        <v>0</v>
      </c>
      <c r="AC2131" s="3">
        <v>12</v>
      </c>
      <c r="AD2131" s="3">
        <v>5</v>
      </c>
      <c r="AE2131" s="3">
        <v>14</v>
      </c>
      <c r="AF2131" s="3" t="s">
        <v>0</v>
      </c>
      <c r="AG2131" s="3" t="s">
        <v>49</v>
      </c>
    </row>
    <row r="2132" spans="1:33" ht="51" x14ac:dyDescent="0.2">
      <c r="A2132" s="4" t="str">
        <f>HYPERLINK("http://www.patentics.cn/invokexml.do?sf=ShowPatent&amp;spn=US20110032852&amp;sv=004eae23eb3c33a85145e04c2fb86586","US20110032852")</f>
        <v>US20110032852</v>
      </c>
      <c r="B2132" s="2" t="s">
        <v>9586</v>
      </c>
      <c r="C2132" s="2" t="s">
        <v>9587</v>
      </c>
      <c r="D2132" s="2" t="s">
        <v>346</v>
      </c>
      <c r="E2132" s="2" t="s">
        <v>346</v>
      </c>
      <c r="F2132" s="2" t="s">
        <v>9588</v>
      </c>
      <c r="G2132" s="2" t="s">
        <v>9588</v>
      </c>
      <c r="H2132" s="2" t="s">
        <v>9589</v>
      </c>
      <c r="I2132" s="2" t="s">
        <v>302</v>
      </c>
      <c r="J2132" s="2" t="s">
        <v>9590</v>
      </c>
      <c r="K2132" s="2" t="s">
        <v>70</v>
      </c>
      <c r="L2132" s="2" t="s">
        <v>467</v>
      </c>
      <c r="M2132" s="2" t="s">
        <v>0</v>
      </c>
      <c r="N2132" s="2" t="s">
        <v>0</v>
      </c>
      <c r="O2132" s="2">
        <v>19</v>
      </c>
      <c r="P2132" s="2">
        <v>22</v>
      </c>
      <c r="Q2132" s="2" t="s">
        <v>352</v>
      </c>
      <c r="R2132" s="2" t="s">
        <v>47</v>
      </c>
      <c r="S2132" s="2">
        <v>0</v>
      </c>
      <c r="T2132" s="2">
        <v>0</v>
      </c>
      <c r="U2132" s="2">
        <v>0</v>
      </c>
      <c r="V2132" s="2">
        <v>0</v>
      </c>
      <c r="W2132" s="2">
        <v>2</v>
      </c>
      <c r="X2132" s="2" t="s">
        <v>1232</v>
      </c>
      <c r="Y2132" s="2">
        <v>0</v>
      </c>
      <c r="Z2132" s="2">
        <v>2</v>
      </c>
      <c r="AA2132" s="2">
        <v>2</v>
      </c>
      <c r="AB2132" s="2">
        <v>1</v>
      </c>
      <c r="AC2132" s="2">
        <v>3</v>
      </c>
      <c r="AD2132" s="2">
        <v>3</v>
      </c>
      <c r="AE2132" s="2" t="s">
        <v>0</v>
      </c>
      <c r="AF2132" s="2">
        <v>1</v>
      </c>
      <c r="AG2132" s="2" t="s">
        <v>49</v>
      </c>
    </row>
    <row r="2133" spans="1:33" ht="140.25" x14ac:dyDescent="0.2">
      <c r="A2133" s="5" t="str">
        <f>HYPERLINK("http://www.patentics.cn/invokexml.do?sf=ShowPatent&amp;spn=US9585156&amp;sv=5b03fdfc2419a5f22cc504a220222da8","US9585156")</f>
        <v>US9585156</v>
      </c>
      <c r="B2133" s="3" t="s">
        <v>9591</v>
      </c>
      <c r="C2133" s="3" t="s">
        <v>9592</v>
      </c>
      <c r="D2133" s="3" t="s">
        <v>52</v>
      </c>
      <c r="E2133" s="3" t="s">
        <v>52</v>
      </c>
      <c r="F2133" s="3" t="s">
        <v>9593</v>
      </c>
      <c r="G2133" s="3" t="s">
        <v>3733</v>
      </c>
      <c r="H2133" s="3" t="s">
        <v>4399</v>
      </c>
      <c r="I2133" s="3" t="s">
        <v>4426</v>
      </c>
      <c r="J2133" s="3" t="s">
        <v>2718</v>
      </c>
      <c r="K2133" s="3" t="s">
        <v>82</v>
      </c>
      <c r="L2133" s="3" t="s">
        <v>318</v>
      </c>
      <c r="M2133" s="3" t="s">
        <v>82</v>
      </c>
      <c r="N2133" s="3" t="s">
        <v>977</v>
      </c>
      <c r="O2133" s="3">
        <v>0</v>
      </c>
      <c r="P2133" s="3">
        <v>16</v>
      </c>
      <c r="Q2133" s="3" t="s">
        <v>60</v>
      </c>
      <c r="R2133" s="3" t="s">
        <v>61</v>
      </c>
      <c r="S2133" s="3">
        <v>59</v>
      </c>
      <c r="T2133" s="3">
        <v>10</v>
      </c>
      <c r="U2133" s="3">
        <v>49</v>
      </c>
      <c r="V2133" s="3">
        <v>22</v>
      </c>
      <c r="W2133" s="3">
        <v>0</v>
      </c>
      <c r="X2133" s="3" t="s">
        <v>147</v>
      </c>
      <c r="Y2133" s="3">
        <v>0</v>
      </c>
      <c r="Z2133" s="3">
        <v>0</v>
      </c>
      <c r="AA2133" s="3">
        <v>0</v>
      </c>
      <c r="AB2133" s="3">
        <v>0</v>
      </c>
      <c r="AC2133" s="3">
        <v>13</v>
      </c>
      <c r="AD2133" s="3">
        <v>7</v>
      </c>
      <c r="AE2133" s="3">
        <v>14</v>
      </c>
      <c r="AF2133" s="3" t="s">
        <v>0</v>
      </c>
      <c r="AG2133" s="3" t="s">
        <v>49</v>
      </c>
    </row>
    <row r="2134" spans="1:33" ht="89.25" x14ac:dyDescent="0.2">
      <c r="A2134" s="4" t="str">
        <f>HYPERLINK("http://www.patentics.cn/invokexml.do?sf=ShowPatent&amp;spn=US20110013623&amp;sv=b1147520acfe20bf9313d651b4062cf3","US20110013623")</f>
        <v>US20110013623</v>
      </c>
      <c r="B2134" s="2" t="s">
        <v>9594</v>
      </c>
      <c r="C2134" s="2" t="s">
        <v>9595</v>
      </c>
      <c r="D2134" s="2" t="s">
        <v>346</v>
      </c>
      <c r="E2134" s="2" t="s">
        <v>346</v>
      </c>
      <c r="F2134" s="2" t="s">
        <v>9596</v>
      </c>
      <c r="G2134" s="2" t="s">
        <v>9597</v>
      </c>
      <c r="H2134" s="2" t="s">
        <v>8084</v>
      </c>
      <c r="I2134" s="2" t="s">
        <v>7703</v>
      </c>
      <c r="J2134" s="2" t="s">
        <v>6331</v>
      </c>
      <c r="K2134" s="2" t="s">
        <v>58</v>
      </c>
      <c r="L2134" s="2" t="s">
        <v>1784</v>
      </c>
      <c r="M2134" s="2" t="s">
        <v>0</v>
      </c>
      <c r="N2134" s="2" t="s">
        <v>0</v>
      </c>
      <c r="O2134" s="2">
        <v>19</v>
      </c>
      <c r="P2134" s="2">
        <v>18</v>
      </c>
      <c r="Q2134" s="2" t="s">
        <v>352</v>
      </c>
      <c r="R2134" s="2" t="s">
        <v>47</v>
      </c>
      <c r="S2134" s="2">
        <v>0</v>
      </c>
      <c r="T2134" s="2">
        <v>0</v>
      </c>
      <c r="U2134" s="2">
        <v>0</v>
      </c>
      <c r="V2134" s="2">
        <v>0</v>
      </c>
      <c r="W2134" s="2">
        <v>27</v>
      </c>
      <c r="X2134" s="2" t="s">
        <v>1141</v>
      </c>
      <c r="Y2134" s="2">
        <v>0</v>
      </c>
      <c r="Z2134" s="2">
        <v>27</v>
      </c>
      <c r="AA2134" s="2">
        <v>9</v>
      </c>
      <c r="AB2134" s="2">
        <v>4</v>
      </c>
      <c r="AC2134" s="2">
        <v>7</v>
      </c>
      <c r="AD2134" s="2">
        <v>4</v>
      </c>
      <c r="AE2134" s="2" t="s">
        <v>0</v>
      </c>
      <c r="AF2134" s="2">
        <v>1</v>
      </c>
      <c r="AG2134" s="2" t="s">
        <v>49</v>
      </c>
    </row>
    <row r="2135" spans="1:33" ht="114.75" x14ac:dyDescent="0.2">
      <c r="A2135" s="5" t="str">
        <f>HYPERLINK("http://www.patentics.cn/invokexml.do?sf=ShowPatent&amp;spn=US8787362&amp;sv=8e45c4de0c24475a08c7bc0b03b7c237","US8787362")</f>
        <v>US8787362</v>
      </c>
      <c r="B2135" s="3" t="s">
        <v>9598</v>
      </c>
      <c r="C2135" s="3" t="s">
        <v>9599</v>
      </c>
      <c r="D2135" s="3" t="s">
        <v>52</v>
      </c>
      <c r="E2135" s="3" t="s">
        <v>52</v>
      </c>
      <c r="F2135" s="3" t="s">
        <v>9600</v>
      </c>
      <c r="G2135" s="3" t="s">
        <v>2677</v>
      </c>
      <c r="H2135" s="3" t="s">
        <v>9601</v>
      </c>
      <c r="I2135" s="3" t="s">
        <v>9602</v>
      </c>
      <c r="J2135" s="3" t="s">
        <v>169</v>
      </c>
      <c r="K2135" s="3" t="s">
        <v>58</v>
      </c>
      <c r="L2135" s="3" t="s">
        <v>1784</v>
      </c>
      <c r="M2135" s="3" t="s">
        <v>58</v>
      </c>
      <c r="N2135" s="3" t="s">
        <v>9603</v>
      </c>
      <c r="O2135" s="3">
        <v>0</v>
      </c>
      <c r="P2135" s="3">
        <v>16</v>
      </c>
      <c r="Q2135" s="3" t="s">
        <v>60</v>
      </c>
      <c r="R2135" s="3" t="s">
        <v>61</v>
      </c>
      <c r="S2135" s="3">
        <v>74</v>
      </c>
      <c r="T2135" s="3">
        <v>1</v>
      </c>
      <c r="U2135" s="3">
        <v>73</v>
      </c>
      <c r="V2135" s="3">
        <v>29</v>
      </c>
      <c r="W2135" s="3">
        <v>0</v>
      </c>
      <c r="X2135" s="3" t="s">
        <v>147</v>
      </c>
      <c r="Y2135" s="3">
        <v>0</v>
      </c>
      <c r="Z2135" s="3">
        <v>0</v>
      </c>
      <c r="AA2135" s="3">
        <v>0</v>
      </c>
      <c r="AB2135" s="3">
        <v>0</v>
      </c>
      <c r="AC2135" s="3">
        <v>14</v>
      </c>
      <c r="AD2135" s="3">
        <v>10</v>
      </c>
      <c r="AE2135" s="3">
        <v>14</v>
      </c>
      <c r="AF2135" s="3" t="s">
        <v>0</v>
      </c>
      <c r="AG2135" s="3" t="s">
        <v>49</v>
      </c>
    </row>
    <row r="2136" spans="1:33" ht="63.75" x14ac:dyDescent="0.2">
      <c r="A2136" s="4" t="str">
        <f>HYPERLINK("http://www.patentics.cn/invokexml.do?sf=ShowPatent&amp;spn=US20110013542&amp;sv=c064da6b82d83094beb3f2f15cb115a1","US20110013542")</f>
        <v>US20110013542</v>
      </c>
      <c r="B2136" s="2" t="s">
        <v>9604</v>
      </c>
      <c r="C2136" s="2" t="s">
        <v>9605</v>
      </c>
      <c r="D2136" s="2" t="s">
        <v>346</v>
      </c>
      <c r="E2136" s="2" t="s">
        <v>346</v>
      </c>
      <c r="F2136" s="2" t="s">
        <v>9606</v>
      </c>
      <c r="G2136" s="2" t="s">
        <v>9607</v>
      </c>
      <c r="H2136" s="2" t="s">
        <v>9608</v>
      </c>
      <c r="I2136" s="2" t="s">
        <v>6343</v>
      </c>
      <c r="J2136" s="2" t="s">
        <v>6331</v>
      </c>
      <c r="K2136" s="2" t="s">
        <v>70</v>
      </c>
      <c r="L2136" s="2" t="s">
        <v>467</v>
      </c>
      <c r="M2136" s="2" t="s">
        <v>0</v>
      </c>
      <c r="N2136" s="2" t="s">
        <v>0</v>
      </c>
      <c r="O2136" s="2">
        <v>13</v>
      </c>
      <c r="P2136" s="2">
        <v>10</v>
      </c>
      <c r="Q2136" s="2" t="s">
        <v>352</v>
      </c>
      <c r="R2136" s="2" t="s">
        <v>47</v>
      </c>
      <c r="S2136" s="2">
        <v>0</v>
      </c>
      <c r="T2136" s="2">
        <v>0</v>
      </c>
      <c r="U2136" s="2">
        <v>0</v>
      </c>
      <c r="V2136" s="2">
        <v>0</v>
      </c>
      <c r="W2136" s="2">
        <v>31</v>
      </c>
      <c r="X2136" s="2" t="s">
        <v>9609</v>
      </c>
      <c r="Y2136" s="2">
        <v>1</v>
      </c>
      <c r="Z2136" s="2">
        <v>30</v>
      </c>
      <c r="AA2136" s="2">
        <v>7</v>
      </c>
      <c r="AB2136" s="2">
        <v>4</v>
      </c>
      <c r="AC2136" s="2">
        <v>12</v>
      </c>
      <c r="AD2136" s="2">
        <v>8</v>
      </c>
      <c r="AE2136" s="2" t="s">
        <v>0</v>
      </c>
      <c r="AF2136" s="2">
        <v>1</v>
      </c>
      <c r="AG2136" s="2" t="s">
        <v>2231</v>
      </c>
    </row>
    <row r="2137" spans="1:33" ht="140.25" x14ac:dyDescent="0.2">
      <c r="A2137" s="5" t="str">
        <f>HYPERLINK("http://www.patentics.cn/invokexml.do?sf=ShowPatent&amp;spn=US9609663&amp;sv=f88cb3d5061d04e660cdf43aacebdb29","US9609663")</f>
        <v>US9609663</v>
      </c>
      <c r="B2137" s="3" t="s">
        <v>9610</v>
      </c>
      <c r="C2137" s="3" t="s">
        <v>9611</v>
      </c>
      <c r="D2137" s="3" t="s">
        <v>52</v>
      </c>
      <c r="E2137" s="3" t="s">
        <v>52</v>
      </c>
      <c r="F2137" s="3" t="s">
        <v>9612</v>
      </c>
      <c r="G2137" s="3" t="s">
        <v>1874</v>
      </c>
      <c r="H2137" s="3" t="s">
        <v>0</v>
      </c>
      <c r="I2137" s="3" t="s">
        <v>9613</v>
      </c>
      <c r="J2137" s="3" t="s">
        <v>3892</v>
      </c>
      <c r="K2137" s="3" t="s">
        <v>82</v>
      </c>
      <c r="L2137" s="3" t="s">
        <v>83</v>
      </c>
      <c r="M2137" s="3" t="s">
        <v>82</v>
      </c>
      <c r="N2137" s="3" t="s">
        <v>4890</v>
      </c>
      <c r="O2137" s="3">
        <v>0</v>
      </c>
      <c r="P2137" s="3">
        <v>19</v>
      </c>
      <c r="Q2137" s="3" t="s">
        <v>60</v>
      </c>
      <c r="R2137" s="3" t="s">
        <v>61</v>
      </c>
      <c r="S2137" s="3">
        <v>11</v>
      </c>
      <c r="T2137" s="3">
        <v>1</v>
      </c>
      <c r="U2137" s="3">
        <v>10</v>
      </c>
      <c r="V2137" s="3">
        <v>10</v>
      </c>
      <c r="W2137" s="3">
        <v>0</v>
      </c>
      <c r="X2137" s="3" t="s">
        <v>147</v>
      </c>
      <c r="Y2137" s="3">
        <v>0</v>
      </c>
      <c r="Z2137" s="3">
        <v>0</v>
      </c>
      <c r="AA2137" s="3">
        <v>0</v>
      </c>
      <c r="AB2137" s="3">
        <v>0</v>
      </c>
      <c r="AC2137" s="3">
        <v>0</v>
      </c>
      <c r="AD2137" s="3">
        <v>0</v>
      </c>
      <c r="AE2137" s="3">
        <v>14</v>
      </c>
      <c r="AF2137" s="3" t="s">
        <v>0</v>
      </c>
      <c r="AG2137" s="3" t="s">
        <v>49</v>
      </c>
    </row>
    <row r="2138" spans="1:33" ht="63.75" x14ac:dyDescent="0.2">
      <c r="A2138" s="4" t="str">
        <f>HYPERLINK("http://www.patentics.cn/invokexml.do?sf=ShowPatent&amp;spn=US20110009121&amp;sv=cc773d94475fd3bed368a1717dbea5dc","US20110009121")</f>
        <v>US20110009121</v>
      </c>
      <c r="B2138" s="2" t="s">
        <v>9614</v>
      </c>
      <c r="C2138" s="2" t="s">
        <v>9615</v>
      </c>
      <c r="D2138" s="2" t="s">
        <v>346</v>
      </c>
      <c r="E2138" s="2" t="s">
        <v>346</v>
      </c>
      <c r="F2138" s="2" t="s">
        <v>9616</v>
      </c>
      <c r="G2138" s="2" t="s">
        <v>9617</v>
      </c>
      <c r="H2138" s="2" t="s">
        <v>9618</v>
      </c>
      <c r="I2138" s="2" t="s">
        <v>9619</v>
      </c>
      <c r="J2138" s="2" t="s">
        <v>6513</v>
      </c>
      <c r="K2138" s="2" t="s">
        <v>82</v>
      </c>
      <c r="L2138" s="2" t="s">
        <v>177</v>
      </c>
      <c r="M2138" s="2" t="s">
        <v>0</v>
      </c>
      <c r="N2138" s="2" t="s">
        <v>0</v>
      </c>
      <c r="O2138" s="2">
        <v>24</v>
      </c>
      <c r="P2138" s="2">
        <v>8</v>
      </c>
      <c r="Q2138" s="2" t="s">
        <v>352</v>
      </c>
      <c r="R2138" s="2" t="s">
        <v>47</v>
      </c>
      <c r="S2138" s="2">
        <v>0</v>
      </c>
      <c r="T2138" s="2">
        <v>0</v>
      </c>
      <c r="U2138" s="2">
        <v>0</v>
      </c>
      <c r="V2138" s="2">
        <v>0</v>
      </c>
      <c r="W2138" s="2">
        <v>4</v>
      </c>
      <c r="X2138" s="2" t="s">
        <v>1896</v>
      </c>
      <c r="Y2138" s="2">
        <v>0</v>
      </c>
      <c r="Z2138" s="2">
        <v>4</v>
      </c>
      <c r="AA2138" s="2">
        <v>3</v>
      </c>
      <c r="AB2138" s="2">
        <v>1</v>
      </c>
      <c r="AC2138" s="2">
        <v>5</v>
      </c>
      <c r="AD2138" s="2">
        <v>4</v>
      </c>
      <c r="AE2138" s="2" t="s">
        <v>0</v>
      </c>
      <c r="AF2138" s="2">
        <v>1</v>
      </c>
      <c r="AG2138" s="2" t="s">
        <v>2231</v>
      </c>
    </row>
    <row r="2139" spans="1:33" ht="204" x14ac:dyDescent="0.2">
      <c r="A2139" s="5" t="str">
        <f>HYPERLINK("http://www.patentics.cn/invokexml.do?sf=ShowPatent&amp;spn=US9609552&amp;sv=290f528343f5deb73c41baa7a358a72e","US9609552")</f>
        <v>US9609552</v>
      </c>
      <c r="B2139" s="3" t="s">
        <v>9620</v>
      </c>
      <c r="C2139" s="3" t="s">
        <v>9621</v>
      </c>
      <c r="D2139" s="3" t="s">
        <v>52</v>
      </c>
      <c r="E2139" s="3" t="s">
        <v>52</v>
      </c>
      <c r="F2139" s="3" t="s">
        <v>9622</v>
      </c>
      <c r="G2139" s="3" t="s">
        <v>5118</v>
      </c>
      <c r="H2139" s="3" t="s">
        <v>0</v>
      </c>
      <c r="I2139" s="3" t="s">
        <v>4431</v>
      </c>
      <c r="J2139" s="3" t="s">
        <v>3892</v>
      </c>
      <c r="K2139" s="3" t="s">
        <v>82</v>
      </c>
      <c r="L2139" s="3" t="s">
        <v>516</v>
      </c>
      <c r="M2139" s="3" t="s">
        <v>82</v>
      </c>
      <c r="N2139" s="3" t="s">
        <v>9623</v>
      </c>
      <c r="O2139" s="3">
        <v>0</v>
      </c>
      <c r="P2139" s="3">
        <v>20</v>
      </c>
      <c r="Q2139" s="3" t="s">
        <v>60</v>
      </c>
      <c r="R2139" s="3" t="s">
        <v>61</v>
      </c>
      <c r="S2139" s="3">
        <v>12</v>
      </c>
      <c r="T2139" s="3">
        <v>2</v>
      </c>
      <c r="U2139" s="3">
        <v>10</v>
      </c>
      <c r="V2139" s="3">
        <v>8</v>
      </c>
      <c r="W2139" s="3">
        <v>0</v>
      </c>
      <c r="X2139" s="3" t="s">
        <v>147</v>
      </c>
      <c r="Y2139" s="3">
        <v>0</v>
      </c>
      <c r="Z2139" s="3">
        <v>0</v>
      </c>
      <c r="AA2139" s="3">
        <v>0</v>
      </c>
      <c r="AB2139" s="3">
        <v>0</v>
      </c>
      <c r="AC2139" s="3">
        <v>0</v>
      </c>
      <c r="AD2139" s="3">
        <v>0</v>
      </c>
      <c r="AE2139" s="3">
        <v>14</v>
      </c>
      <c r="AF2139" s="3" t="s">
        <v>0</v>
      </c>
      <c r="AG2139" s="3" t="s">
        <v>49</v>
      </c>
    </row>
    <row r="2140" spans="1:33" ht="63.75" x14ac:dyDescent="0.2">
      <c r="A2140" s="4" t="str">
        <f>HYPERLINK("http://www.patentics.cn/invokexml.do?sf=ShowPatent&amp;spn=US20100322331&amp;sv=3b7faf234e26296b1ebe85f00dc724c0","US20100322331")</f>
        <v>US20100322331</v>
      </c>
      <c r="B2140" s="2" t="s">
        <v>9624</v>
      </c>
      <c r="C2140" s="2" t="s">
        <v>9625</v>
      </c>
      <c r="D2140" s="2" t="s">
        <v>346</v>
      </c>
      <c r="E2140" s="2" t="s">
        <v>346</v>
      </c>
      <c r="F2140" s="2" t="s">
        <v>9626</v>
      </c>
      <c r="G2140" s="2" t="s">
        <v>9627</v>
      </c>
      <c r="H2140" s="2" t="s">
        <v>9628</v>
      </c>
      <c r="I2140" s="2" t="s">
        <v>9628</v>
      </c>
      <c r="J2140" s="2" t="s">
        <v>1191</v>
      </c>
      <c r="K2140" s="2" t="s">
        <v>58</v>
      </c>
      <c r="L2140" s="2" t="s">
        <v>94</v>
      </c>
      <c r="M2140" s="2" t="s">
        <v>84</v>
      </c>
      <c r="N2140" s="2" t="s">
        <v>9629</v>
      </c>
      <c r="O2140" s="2">
        <v>11</v>
      </c>
      <c r="P2140" s="2">
        <v>3</v>
      </c>
      <c r="Q2140" s="2" t="s">
        <v>352</v>
      </c>
      <c r="R2140" s="2" t="s">
        <v>47</v>
      </c>
      <c r="S2140" s="2">
        <v>0</v>
      </c>
      <c r="T2140" s="2">
        <v>0</v>
      </c>
      <c r="U2140" s="2">
        <v>0</v>
      </c>
      <c r="V2140" s="2">
        <v>0</v>
      </c>
      <c r="W2140" s="2">
        <v>5</v>
      </c>
      <c r="X2140" s="2" t="s">
        <v>7116</v>
      </c>
      <c r="Y2140" s="2">
        <v>0</v>
      </c>
      <c r="Z2140" s="2">
        <v>5</v>
      </c>
      <c r="AA2140" s="2">
        <v>5</v>
      </c>
      <c r="AB2140" s="2">
        <v>1</v>
      </c>
      <c r="AC2140" s="2">
        <v>7</v>
      </c>
      <c r="AD2140" s="2">
        <v>6</v>
      </c>
      <c r="AE2140" s="2" t="s">
        <v>0</v>
      </c>
      <c r="AF2140" s="2">
        <v>1</v>
      </c>
      <c r="AG2140" s="2" t="s">
        <v>2231</v>
      </c>
    </row>
    <row r="2141" spans="1:33" ht="89.25" x14ac:dyDescent="0.2">
      <c r="A2141" s="5" t="str">
        <f>HYPERLINK("http://www.patentics.cn/invokexml.do?sf=ShowPatent&amp;spn=US8867502&amp;sv=de7b120ec431d520fe26db37ed3a7780","US8867502")</f>
        <v>US8867502</v>
      </c>
      <c r="B2141" s="3" t="s">
        <v>9630</v>
      </c>
      <c r="C2141" s="3" t="s">
        <v>9631</v>
      </c>
      <c r="D2141" s="3" t="s">
        <v>52</v>
      </c>
      <c r="E2141" s="3" t="s">
        <v>52</v>
      </c>
      <c r="F2141" s="3" t="s">
        <v>9632</v>
      </c>
      <c r="G2141" s="3" t="s">
        <v>1903</v>
      </c>
      <c r="H2141" s="3" t="s">
        <v>5231</v>
      </c>
      <c r="I2141" s="3" t="s">
        <v>4197</v>
      </c>
      <c r="J2141" s="3" t="s">
        <v>4283</v>
      </c>
      <c r="K2141" s="3" t="s">
        <v>82</v>
      </c>
      <c r="L2141" s="3" t="s">
        <v>244</v>
      </c>
      <c r="M2141" s="3" t="s">
        <v>84</v>
      </c>
      <c r="N2141" s="3" t="s">
        <v>9633</v>
      </c>
      <c r="O2141" s="3">
        <v>0</v>
      </c>
      <c r="P2141" s="3">
        <v>15</v>
      </c>
      <c r="Q2141" s="3" t="s">
        <v>60</v>
      </c>
      <c r="R2141" s="3" t="s">
        <v>61</v>
      </c>
      <c r="S2141" s="3">
        <v>12</v>
      </c>
      <c r="T2141" s="3">
        <v>1</v>
      </c>
      <c r="U2141" s="3">
        <v>11</v>
      </c>
      <c r="V2141" s="3">
        <v>8</v>
      </c>
      <c r="W2141" s="3">
        <v>6</v>
      </c>
      <c r="X2141" s="3" t="s">
        <v>147</v>
      </c>
      <c r="Y2141" s="3">
        <v>0</v>
      </c>
      <c r="Z2141" s="3">
        <v>6</v>
      </c>
      <c r="AA2141" s="3">
        <v>0</v>
      </c>
      <c r="AB2141" s="3">
        <v>1</v>
      </c>
      <c r="AC2141" s="3">
        <v>8</v>
      </c>
      <c r="AD2141" s="3">
        <v>7</v>
      </c>
      <c r="AE2141" s="3">
        <v>14</v>
      </c>
      <c r="AF2141" s="3" t="s">
        <v>0</v>
      </c>
      <c r="AG2141" s="3" t="s">
        <v>49</v>
      </c>
    </row>
    <row r="2142" spans="1:33" ht="38.25" x14ac:dyDescent="0.2">
      <c r="A2142" s="4" t="str">
        <f>HYPERLINK("http://www.patentics.cn/invokexml.do?sf=ShowPatent&amp;spn=US20100304667&amp;sv=6e0b330a048b4f601a53ac9d20d02650","US20100304667")</f>
        <v>US20100304667</v>
      </c>
      <c r="B2142" s="2" t="s">
        <v>9634</v>
      </c>
      <c r="C2142" s="2" t="s">
        <v>9635</v>
      </c>
      <c r="D2142" s="2" t="s">
        <v>346</v>
      </c>
      <c r="E2142" s="2" t="s">
        <v>346</v>
      </c>
      <c r="F2142" s="2" t="s">
        <v>9636</v>
      </c>
      <c r="G2142" s="2" t="s">
        <v>9637</v>
      </c>
      <c r="H2142" s="2" t="s">
        <v>3486</v>
      </c>
      <c r="I2142" s="2" t="s">
        <v>3848</v>
      </c>
      <c r="J2142" s="2" t="s">
        <v>3558</v>
      </c>
      <c r="K2142" s="2" t="s">
        <v>84</v>
      </c>
      <c r="L2142" s="2" t="s">
        <v>875</v>
      </c>
      <c r="M2142" s="2" t="s">
        <v>84</v>
      </c>
      <c r="N2142" s="2" t="s">
        <v>6458</v>
      </c>
      <c r="O2142" s="2">
        <v>24</v>
      </c>
      <c r="P2142" s="2">
        <v>16</v>
      </c>
      <c r="Q2142" s="2" t="s">
        <v>352</v>
      </c>
      <c r="R2142" s="2" t="s">
        <v>47</v>
      </c>
      <c r="S2142" s="2">
        <v>0</v>
      </c>
      <c r="T2142" s="2">
        <v>0</v>
      </c>
      <c r="U2142" s="2">
        <v>0</v>
      </c>
      <c r="V2142" s="2">
        <v>0</v>
      </c>
      <c r="W2142" s="2">
        <v>11</v>
      </c>
      <c r="X2142" s="2" t="s">
        <v>4587</v>
      </c>
      <c r="Y2142" s="2">
        <v>0</v>
      </c>
      <c r="Z2142" s="2">
        <v>11</v>
      </c>
      <c r="AA2142" s="2">
        <v>8</v>
      </c>
      <c r="AB2142" s="2">
        <v>2</v>
      </c>
      <c r="AC2142" s="2">
        <v>7</v>
      </c>
      <c r="AD2142" s="2">
        <v>4</v>
      </c>
      <c r="AE2142" s="2" t="s">
        <v>0</v>
      </c>
      <c r="AF2142" s="2">
        <v>1</v>
      </c>
      <c r="AG2142" s="2" t="s">
        <v>49</v>
      </c>
    </row>
    <row r="2143" spans="1:33" ht="38.25" x14ac:dyDescent="0.2">
      <c r="A2143" s="5" t="str">
        <f>HYPERLINK("http://www.patentics.cn/invokexml.do?sf=ShowPatent&amp;spn=US8917695&amp;sv=865f59526ad704ace2e91db8c2b9ab91","US8917695")</f>
        <v>US8917695</v>
      </c>
      <c r="B2143" s="3" t="s">
        <v>9638</v>
      </c>
      <c r="C2143" s="3" t="s">
        <v>9639</v>
      </c>
      <c r="D2143" s="3" t="s">
        <v>52</v>
      </c>
      <c r="E2143" s="3" t="s">
        <v>52</v>
      </c>
      <c r="F2143" s="3" t="s">
        <v>4275</v>
      </c>
      <c r="G2143" s="3" t="s">
        <v>1458</v>
      </c>
      <c r="H2143" s="3" t="s">
        <v>1602</v>
      </c>
      <c r="I2143" s="3" t="s">
        <v>1602</v>
      </c>
      <c r="J2143" s="3" t="s">
        <v>203</v>
      </c>
      <c r="K2143" s="3" t="s">
        <v>70</v>
      </c>
      <c r="L2143" s="3" t="s">
        <v>463</v>
      </c>
      <c r="M2143" s="3" t="s">
        <v>82</v>
      </c>
      <c r="N2143" s="3" t="s">
        <v>807</v>
      </c>
      <c r="O2143" s="3">
        <v>0</v>
      </c>
      <c r="P2143" s="3">
        <v>13</v>
      </c>
      <c r="Q2143" s="3" t="s">
        <v>60</v>
      </c>
      <c r="R2143" s="3" t="s">
        <v>61</v>
      </c>
      <c r="S2143" s="3">
        <v>10</v>
      </c>
      <c r="T2143" s="3">
        <v>4</v>
      </c>
      <c r="U2143" s="3">
        <v>6</v>
      </c>
      <c r="V2143" s="3">
        <v>7</v>
      </c>
      <c r="W2143" s="3">
        <v>12</v>
      </c>
      <c r="X2143" s="3" t="s">
        <v>147</v>
      </c>
      <c r="Y2143" s="3">
        <v>0</v>
      </c>
      <c r="Z2143" s="3">
        <v>12</v>
      </c>
      <c r="AA2143" s="3">
        <v>0</v>
      </c>
      <c r="AB2143" s="3">
        <v>1</v>
      </c>
      <c r="AC2143" s="3">
        <v>14</v>
      </c>
      <c r="AD2143" s="3">
        <v>9</v>
      </c>
      <c r="AE2143" s="3">
        <v>14</v>
      </c>
      <c r="AF2143" s="3" t="s">
        <v>0</v>
      </c>
      <c r="AG2143" s="3" t="s">
        <v>49</v>
      </c>
    </row>
    <row r="2144" spans="1:33" ht="38.25" x14ac:dyDescent="0.2">
      <c r="A2144" s="4" t="str">
        <f>HYPERLINK("http://www.patentics.cn/invokexml.do?sf=ShowPatent&amp;spn=US20100177675&amp;sv=ea64e470454d90d6f1fe8d0f828b95db","US20100177675")</f>
        <v>US20100177675</v>
      </c>
      <c r="B2144" s="2" t="s">
        <v>9640</v>
      </c>
      <c r="C2144" s="2" t="s">
        <v>9641</v>
      </c>
      <c r="D2144" s="2" t="s">
        <v>346</v>
      </c>
      <c r="E2144" s="2" t="s">
        <v>346</v>
      </c>
      <c r="F2144" s="2" t="s">
        <v>9277</v>
      </c>
      <c r="G2144" s="2" t="s">
        <v>9277</v>
      </c>
      <c r="H2144" s="2" t="s">
        <v>9642</v>
      </c>
      <c r="I2144" s="2" t="s">
        <v>5944</v>
      </c>
      <c r="J2144" s="2" t="s">
        <v>603</v>
      </c>
      <c r="K2144" s="2" t="s">
        <v>1246</v>
      </c>
      <c r="L2144" s="2" t="s">
        <v>1247</v>
      </c>
      <c r="M2144" s="2" t="s">
        <v>0</v>
      </c>
      <c r="N2144" s="2" t="s">
        <v>0</v>
      </c>
      <c r="O2144" s="2">
        <v>19</v>
      </c>
      <c r="P2144" s="2">
        <v>11</v>
      </c>
      <c r="Q2144" s="2" t="s">
        <v>352</v>
      </c>
      <c r="R2144" s="2" t="s">
        <v>47</v>
      </c>
      <c r="S2144" s="2">
        <v>0</v>
      </c>
      <c r="T2144" s="2">
        <v>0</v>
      </c>
      <c r="U2144" s="2">
        <v>0</v>
      </c>
      <c r="V2144" s="2">
        <v>0</v>
      </c>
      <c r="W2144" s="2">
        <v>4</v>
      </c>
      <c r="X2144" s="2" t="s">
        <v>6539</v>
      </c>
      <c r="Y2144" s="2">
        <v>0</v>
      </c>
      <c r="Z2144" s="2">
        <v>4</v>
      </c>
      <c r="AA2144" s="2">
        <v>4</v>
      </c>
      <c r="AB2144" s="2">
        <v>2</v>
      </c>
      <c r="AC2144" s="2">
        <v>9</v>
      </c>
      <c r="AD2144" s="2">
        <v>6</v>
      </c>
      <c r="AE2144" s="2" t="s">
        <v>0</v>
      </c>
      <c r="AF2144" s="2">
        <v>1</v>
      </c>
      <c r="AG2144" s="2" t="s">
        <v>49</v>
      </c>
    </row>
    <row r="2145" spans="1:33" ht="89.25" x14ac:dyDescent="0.2">
      <c r="A2145" s="5" t="str">
        <f>HYPERLINK("http://www.patentics.cn/invokexml.do?sf=ShowPatent&amp;spn=US9351128&amp;sv=d3e90b498dbe7928b93fd073a37d4a87","US9351128")</f>
        <v>US9351128</v>
      </c>
      <c r="B2145" s="3" t="s">
        <v>9643</v>
      </c>
      <c r="C2145" s="3" t="s">
        <v>9644</v>
      </c>
      <c r="D2145" s="3" t="s">
        <v>52</v>
      </c>
      <c r="E2145" s="3" t="s">
        <v>52</v>
      </c>
      <c r="F2145" s="3" t="s">
        <v>9645</v>
      </c>
      <c r="G2145" s="3" t="s">
        <v>6691</v>
      </c>
      <c r="H2145" s="3" t="s">
        <v>9646</v>
      </c>
      <c r="I2145" s="3" t="s">
        <v>9647</v>
      </c>
      <c r="J2145" s="3" t="s">
        <v>1184</v>
      </c>
      <c r="K2145" s="3" t="s">
        <v>82</v>
      </c>
      <c r="L2145" s="3" t="s">
        <v>1767</v>
      </c>
      <c r="M2145" s="3" t="s">
        <v>82</v>
      </c>
      <c r="N2145" s="3" t="s">
        <v>1649</v>
      </c>
      <c r="O2145" s="3">
        <v>0</v>
      </c>
      <c r="P2145" s="3">
        <v>20</v>
      </c>
      <c r="Q2145" s="3" t="s">
        <v>60</v>
      </c>
      <c r="R2145" s="3" t="s">
        <v>61</v>
      </c>
      <c r="S2145" s="3">
        <v>30</v>
      </c>
      <c r="T2145" s="3">
        <v>6</v>
      </c>
      <c r="U2145" s="3">
        <v>24</v>
      </c>
      <c r="V2145" s="3">
        <v>15</v>
      </c>
      <c r="W2145" s="3">
        <v>0</v>
      </c>
      <c r="X2145" s="3" t="s">
        <v>147</v>
      </c>
      <c r="Y2145" s="3">
        <v>0</v>
      </c>
      <c r="Z2145" s="3">
        <v>0</v>
      </c>
      <c r="AA2145" s="3">
        <v>0</v>
      </c>
      <c r="AB2145" s="3">
        <v>0</v>
      </c>
      <c r="AC2145" s="3">
        <v>3</v>
      </c>
      <c r="AD2145" s="3">
        <v>3</v>
      </c>
      <c r="AE2145" s="3">
        <v>14</v>
      </c>
      <c r="AF2145" s="3" t="s">
        <v>0</v>
      </c>
      <c r="AG2145" s="3" t="s">
        <v>49</v>
      </c>
    </row>
    <row r="2146" spans="1:33" ht="38.25" x14ac:dyDescent="0.2">
      <c r="A2146" s="4" t="str">
        <f>HYPERLINK("http://www.patentics.cn/invokexml.do?sf=ShowPatent&amp;spn=US20100049789&amp;sv=aded831d5fa207125fcda728a4cdf16a","US20100049789")</f>
        <v>US20100049789</v>
      </c>
      <c r="B2146" s="2" t="s">
        <v>9648</v>
      </c>
      <c r="C2146" s="2" t="s">
        <v>9649</v>
      </c>
      <c r="D2146" s="2" t="s">
        <v>346</v>
      </c>
      <c r="E2146" s="2" t="s">
        <v>346</v>
      </c>
      <c r="F2146" s="2" t="s">
        <v>6531</v>
      </c>
      <c r="G2146" s="2" t="s">
        <v>6531</v>
      </c>
      <c r="H2146" s="2" t="s">
        <v>2976</v>
      </c>
      <c r="I2146" s="2" t="s">
        <v>9650</v>
      </c>
      <c r="J2146" s="2" t="s">
        <v>2747</v>
      </c>
      <c r="K2146" s="2" t="s">
        <v>555</v>
      </c>
      <c r="L2146" s="2" t="s">
        <v>556</v>
      </c>
      <c r="M2146" s="2" t="s">
        <v>82</v>
      </c>
      <c r="N2146" s="2" t="s">
        <v>1454</v>
      </c>
      <c r="O2146" s="2">
        <v>16</v>
      </c>
      <c r="P2146" s="2">
        <v>32</v>
      </c>
      <c r="Q2146" s="2" t="s">
        <v>352</v>
      </c>
      <c r="R2146" s="2" t="s">
        <v>47</v>
      </c>
      <c r="S2146" s="2">
        <v>0</v>
      </c>
      <c r="T2146" s="2">
        <v>0</v>
      </c>
      <c r="U2146" s="2">
        <v>0</v>
      </c>
      <c r="V2146" s="2">
        <v>0</v>
      </c>
      <c r="W2146" s="2">
        <v>3</v>
      </c>
      <c r="X2146" s="2" t="s">
        <v>6418</v>
      </c>
      <c r="Y2146" s="2">
        <v>0</v>
      </c>
      <c r="Z2146" s="2">
        <v>3</v>
      </c>
      <c r="AA2146" s="2">
        <v>3</v>
      </c>
      <c r="AB2146" s="2">
        <v>1</v>
      </c>
      <c r="AC2146" s="2">
        <v>7</v>
      </c>
      <c r="AD2146" s="2">
        <v>5</v>
      </c>
      <c r="AE2146" s="2" t="s">
        <v>0</v>
      </c>
      <c r="AF2146" s="2">
        <v>1</v>
      </c>
      <c r="AG2146" s="2" t="s">
        <v>49</v>
      </c>
    </row>
    <row r="2147" spans="1:33" ht="114.75" x14ac:dyDescent="0.2">
      <c r="A2147" s="5" t="str">
        <f>HYPERLINK("http://www.patentics.cn/invokexml.do?sf=ShowPatent&amp;spn=US8639274&amp;sv=870a8e2decca5d04830d3891ade8099a","US8639274")</f>
        <v>US8639274</v>
      </c>
      <c r="B2147" s="3" t="s">
        <v>9651</v>
      </c>
      <c r="C2147" s="3" t="s">
        <v>9652</v>
      </c>
      <c r="D2147" s="3" t="s">
        <v>52</v>
      </c>
      <c r="E2147" s="3" t="s">
        <v>52</v>
      </c>
      <c r="F2147" s="3" t="s">
        <v>9653</v>
      </c>
      <c r="G2147" s="3" t="s">
        <v>9654</v>
      </c>
      <c r="H2147" s="3" t="s">
        <v>1661</v>
      </c>
      <c r="I2147" s="3" t="s">
        <v>7345</v>
      </c>
      <c r="J2147" s="3" t="s">
        <v>892</v>
      </c>
      <c r="K2147" s="3" t="s">
        <v>82</v>
      </c>
      <c r="L2147" s="3" t="s">
        <v>827</v>
      </c>
      <c r="M2147" s="3" t="s">
        <v>82</v>
      </c>
      <c r="N2147" s="3" t="s">
        <v>9655</v>
      </c>
      <c r="O2147" s="3">
        <v>0</v>
      </c>
      <c r="P2147" s="3">
        <v>18</v>
      </c>
      <c r="Q2147" s="3" t="s">
        <v>60</v>
      </c>
      <c r="R2147" s="3" t="s">
        <v>61</v>
      </c>
      <c r="S2147" s="3">
        <v>11</v>
      </c>
      <c r="T2147" s="3">
        <v>0</v>
      </c>
      <c r="U2147" s="3">
        <v>11</v>
      </c>
      <c r="V2147" s="3">
        <v>7</v>
      </c>
      <c r="W2147" s="3">
        <v>0</v>
      </c>
      <c r="X2147" s="3" t="s">
        <v>147</v>
      </c>
      <c r="Y2147" s="3">
        <v>0</v>
      </c>
      <c r="Z2147" s="3">
        <v>0</v>
      </c>
      <c r="AA2147" s="3">
        <v>0</v>
      </c>
      <c r="AB2147" s="3">
        <v>0</v>
      </c>
      <c r="AC2147" s="3">
        <v>5</v>
      </c>
      <c r="AD2147" s="3">
        <v>4</v>
      </c>
      <c r="AE2147" s="3">
        <v>14</v>
      </c>
      <c r="AF2147" s="3" t="s">
        <v>0</v>
      </c>
      <c r="AG2147" s="3" t="s">
        <v>49</v>
      </c>
    </row>
    <row r="2148" spans="1:33" ht="25.5" x14ac:dyDescent="0.2">
      <c r="A2148" s="4" t="str">
        <f>HYPERLINK("http://www.patentics.cn/invokexml.do?sf=ShowPatent&amp;spn=US20100009684&amp;sv=eec3353113327aa0225605f6edef13a9","US20100009684")</f>
        <v>US20100009684</v>
      </c>
      <c r="B2148" s="2" t="s">
        <v>9656</v>
      </c>
      <c r="C2148" s="2" t="s">
        <v>9657</v>
      </c>
      <c r="D2148" s="2" t="s">
        <v>346</v>
      </c>
      <c r="E2148" s="2" t="s">
        <v>346</v>
      </c>
      <c r="F2148" s="2" t="s">
        <v>6599</v>
      </c>
      <c r="G2148" s="2" t="s">
        <v>6599</v>
      </c>
      <c r="H2148" s="2" t="s">
        <v>3611</v>
      </c>
      <c r="I2148" s="2" t="s">
        <v>3612</v>
      </c>
      <c r="J2148" s="2" t="s">
        <v>9658</v>
      </c>
      <c r="K2148" s="2" t="s">
        <v>82</v>
      </c>
      <c r="L2148" s="2" t="s">
        <v>9659</v>
      </c>
      <c r="M2148" s="2" t="s">
        <v>82</v>
      </c>
      <c r="N2148" s="2" t="s">
        <v>1011</v>
      </c>
      <c r="O2148" s="2">
        <v>20</v>
      </c>
      <c r="P2148" s="2">
        <v>14</v>
      </c>
      <c r="Q2148" s="2" t="s">
        <v>352</v>
      </c>
      <c r="R2148" s="2" t="s">
        <v>47</v>
      </c>
      <c r="S2148" s="2">
        <v>0</v>
      </c>
      <c r="T2148" s="2">
        <v>0</v>
      </c>
      <c r="U2148" s="2">
        <v>0</v>
      </c>
      <c r="V2148" s="2">
        <v>0</v>
      </c>
      <c r="W2148" s="2">
        <v>8</v>
      </c>
      <c r="X2148" s="2" t="s">
        <v>189</v>
      </c>
      <c r="Y2148" s="2">
        <v>0</v>
      </c>
      <c r="Z2148" s="2">
        <v>8</v>
      </c>
      <c r="AA2148" s="2">
        <v>2</v>
      </c>
      <c r="AB2148" s="2">
        <v>2</v>
      </c>
      <c r="AC2148" s="2">
        <v>20</v>
      </c>
      <c r="AD2148" s="2">
        <v>12</v>
      </c>
      <c r="AE2148" s="2" t="s">
        <v>0</v>
      </c>
      <c r="AF2148" s="2">
        <v>1</v>
      </c>
      <c r="AG2148" s="2" t="s">
        <v>49</v>
      </c>
    </row>
    <row r="2149" spans="1:33" ht="38.25" x14ac:dyDescent="0.2">
      <c r="A2149" s="5" t="str">
        <f>HYPERLINK("http://www.patentics.cn/invokexml.do?sf=ShowPatent&amp;spn=US9215626&amp;sv=1e4bbaf26734be708e27ba24dd53ddde","US9215626")</f>
        <v>US9215626</v>
      </c>
      <c r="B2149" s="3" t="s">
        <v>3614</v>
      </c>
      <c r="C2149" s="3" t="s">
        <v>3615</v>
      </c>
      <c r="D2149" s="3" t="s">
        <v>52</v>
      </c>
      <c r="E2149" s="3" t="s">
        <v>52</v>
      </c>
      <c r="F2149" s="3" t="s">
        <v>3616</v>
      </c>
      <c r="G2149" s="3" t="s">
        <v>3616</v>
      </c>
      <c r="H2149" s="3" t="s">
        <v>3617</v>
      </c>
      <c r="I2149" s="3" t="s">
        <v>3618</v>
      </c>
      <c r="J2149" s="3" t="s">
        <v>2568</v>
      </c>
      <c r="K2149" s="3" t="s">
        <v>82</v>
      </c>
      <c r="L2149" s="3" t="s">
        <v>83</v>
      </c>
      <c r="M2149" s="3" t="s">
        <v>82</v>
      </c>
      <c r="N2149" s="3" t="s">
        <v>3421</v>
      </c>
      <c r="O2149" s="3">
        <v>0</v>
      </c>
      <c r="P2149" s="3">
        <v>7</v>
      </c>
      <c r="Q2149" s="3" t="s">
        <v>60</v>
      </c>
      <c r="R2149" s="3" t="s">
        <v>61</v>
      </c>
      <c r="S2149" s="3">
        <v>22</v>
      </c>
      <c r="T2149" s="3">
        <v>1</v>
      </c>
      <c r="U2149" s="3">
        <v>21</v>
      </c>
      <c r="V2149" s="3">
        <v>13</v>
      </c>
      <c r="W2149" s="3">
        <v>12</v>
      </c>
      <c r="X2149" s="3" t="s">
        <v>147</v>
      </c>
      <c r="Y2149" s="3">
        <v>0</v>
      </c>
      <c r="Z2149" s="3">
        <v>12</v>
      </c>
      <c r="AA2149" s="3">
        <v>0</v>
      </c>
      <c r="AB2149" s="3">
        <v>1</v>
      </c>
      <c r="AC2149" s="3">
        <v>8</v>
      </c>
      <c r="AD2149" s="3">
        <v>6</v>
      </c>
      <c r="AE2149" s="3">
        <v>14</v>
      </c>
      <c r="AF2149" s="3" t="s">
        <v>0</v>
      </c>
      <c r="AG2149" s="3" t="s">
        <v>49</v>
      </c>
    </row>
    <row r="2150" spans="1:33" ht="89.25" x14ac:dyDescent="0.2">
      <c r="A2150" s="4" t="str">
        <f>HYPERLINK("http://www.patentics.cn/invokexml.do?sf=ShowPatent&amp;spn=US20090116468&amp;sv=e933ee2f35ef1d55512aa7b035c0ba09","US20090116468")</f>
        <v>US20090116468</v>
      </c>
      <c r="B2150" s="2" t="s">
        <v>9660</v>
      </c>
      <c r="C2150" s="2" t="s">
        <v>9661</v>
      </c>
      <c r="D2150" s="2" t="s">
        <v>346</v>
      </c>
      <c r="E2150" s="2" t="s">
        <v>346</v>
      </c>
      <c r="F2150" s="2" t="s">
        <v>9662</v>
      </c>
      <c r="G2150" s="2" t="s">
        <v>1204</v>
      </c>
      <c r="H2150" s="2" t="s">
        <v>4939</v>
      </c>
      <c r="I2150" s="2" t="s">
        <v>1892</v>
      </c>
      <c r="J2150" s="2" t="s">
        <v>7873</v>
      </c>
      <c r="K2150" s="2" t="s">
        <v>84</v>
      </c>
      <c r="L2150" s="2" t="s">
        <v>114</v>
      </c>
      <c r="M2150" s="2" t="s">
        <v>58</v>
      </c>
      <c r="N2150" s="2" t="s">
        <v>512</v>
      </c>
      <c r="O2150" s="2">
        <v>20</v>
      </c>
      <c r="P2150" s="2">
        <v>23</v>
      </c>
      <c r="Q2150" s="2" t="s">
        <v>352</v>
      </c>
      <c r="R2150" s="2" t="s">
        <v>47</v>
      </c>
      <c r="S2150" s="2">
        <v>0</v>
      </c>
      <c r="T2150" s="2">
        <v>0</v>
      </c>
      <c r="U2150" s="2">
        <v>0</v>
      </c>
      <c r="V2150" s="2">
        <v>0</v>
      </c>
      <c r="W2150" s="2">
        <v>8</v>
      </c>
      <c r="X2150" s="2" t="s">
        <v>9201</v>
      </c>
      <c r="Y2150" s="2">
        <v>2</v>
      </c>
      <c r="Z2150" s="2">
        <v>6</v>
      </c>
      <c r="AA2150" s="2">
        <v>5</v>
      </c>
      <c r="AB2150" s="2">
        <v>1</v>
      </c>
      <c r="AC2150" s="2">
        <v>9</v>
      </c>
      <c r="AD2150" s="2">
        <v>5</v>
      </c>
      <c r="AE2150" s="2" t="s">
        <v>0</v>
      </c>
      <c r="AF2150" s="2">
        <v>1</v>
      </c>
      <c r="AG2150" s="2" t="s">
        <v>49</v>
      </c>
    </row>
    <row r="2151" spans="1:33" ht="127.5" x14ac:dyDescent="0.2">
      <c r="A2151" s="5" t="str">
        <f>HYPERLINK("http://www.patentics.cn/invokexml.do?sf=ShowPatent&amp;spn=US8824307&amp;sv=61b09f41f41e8f8585f0e873127117f5","US8824307")</f>
        <v>US8824307</v>
      </c>
      <c r="B2151" s="3" t="s">
        <v>9663</v>
      </c>
      <c r="C2151" s="3" t="s">
        <v>9664</v>
      </c>
      <c r="D2151" s="3" t="s">
        <v>52</v>
      </c>
      <c r="E2151" s="3" t="s">
        <v>52</v>
      </c>
      <c r="F2151" s="3" t="s">
        <v>9665</v>
      </c>
      <c r="G2151" s="3" t="s">
        <v>1113</v>
      </c>
      <c r="H2151" s="3" t="s">
        <v>951</v>
      </c>
      <c r="I2151" s="3" t="s">
        <v>1275</v>
      </c>
      <c r="J2151" s="3" t="s">
        <v>5336</v>
      </c>
      <c r="K2151" s="3" t="s">
        <v>82</v>
      </c>
      <c r="L2151" s="3" t="s">
        <v>83</v>
      </c>
      <c r="M2151" s="3" t="s">
        <v>82</v>
      </c>
      <c r="N2151" s="3" t="s">
        <v>2824</v>
      </c>
      <c r="O2151" s="3">
        <v>0</v>
      </c>
      <c r="P2151" s="3">
        <v>17</v>
      </c>
      <c r="Q2151" s="3" t="s">
        <v>60</v>
      </c>
      <c r="R2151" s="3" t="s">
        <v>61</v>
      </c>
      <c r="S2151" s="3">
        <v>17</v>
      </c>
      <c r="T2151" s="3">
        <v>7</v>
      </c>
      <c r="U2151" s="3">
        <v>10</v>
      </c>
      <c r="V2151" s="3">
        <v>7</v>
      </c>
      <c r="W2151" s="3">
        <v>0</v>
      </c>
      <c r="X2151" s="3" t="s">
        <v>147</v>
      </c>
      <c r="Y2151" s="3">
        <v>0</v>
      </c>
      <c r="Z2151" s="3">
        <v>0</v>
      </c>
      <c r="AA2151" s="3">
        <v>0</v>
      </c>
      <c r="AB2151" s="3">
        <v>0</v>
      </c>
      <c r="AC2151" s="3">
        <v>4</v>
      </c>
      <c r="AD2151" s="3">
        <v>3</v>
      </c>
      <c r="AE2151" s="3">
        <v>14</v>
      </c>
      <c r="AF2151" s="3" t="s">
        <v>0</v>
      </c>
      <c r="AG2151" s="3" t="s">
        <v>49</v>
      </c>
    </row>
    <row r="2152" spans="1:33" ht="63.75" x14ac:dyDescent="0.2">
      <c r="A2152" s="4" t="str">
        <f>HYPERLINK("http://www.patentics.cn/invokexml.do?sf=ShowPatent&amp;spn=US20090016290&amp;sv=194e1b6345be52d82d92d2af6725db95","US20090016290")</f>
        <v>US20090016290</v>
      </c>
      <c r="B2152" s="2" t="s">
        <v>9666</v>
      </c>
      <c r="C2152" s="2" t="s">
        <v>9667</v>
      </c>
      <c r="D2152" s="2" t="s">
        <v>346</v>
      </c>
      <c r="E2152" s="2" t="s">
        <v>346</v>
      </c>
      <c r="F2152" s="2" t="s">
        <v>9668</v>
      </c>
      <c r="G2152" s="2" t="s">
        <v>9168</v>
      </c>
      <c r="H2152" s="2" t="s">
        <v>1920</v>
      </c>
      <c r="I2152" s="2" t="s">
        <v>1007</v>
      </c>
      <c r="J2152" s="2" t="s">
        <v>1921</v>
      </c>
      <c r="K2152" s="2" t="s">
        <v>43</v>
      </c>
      <c r="L2152" s="2" t="s">
        <v>57</v>
      </c>
      <c r="M2152" s="2" t="s">
        <v>82</v>
      </c>
      <c r="N2152" s="2" t="s">
        <v>966</v>
      </c>
      <c r="O2152" s="2">
        <v>55</v>
      </c>
      <c r="P2152" s="2">
        <v>16</v>
      </c>
      <c r="Q2152" s="2" t="s">
        <v>352</v>
      </c>
      <c r="R2152" s="2" t="s">
        <v>61</v>
      </c>
      <c r="S2152" s="2">
        <v>0</v>
      </c>
      <c r="T2152" s="2">
        <v>0</v>
      </c>
      <c r="U2152" s="2">
        <v>0</v>
      </c>
      <c r="V2152" s="2">
        <v>0</v>
      </c>
      <c r="W2152" s="2">
        <v>29</v>
      </c>
      <c r="X2152" s="2" t="s">
        <v>9669</v>
      </c>
      <c r="Y2152" s="2">
        <v>6</v>
      </c>
      <c r="Z2152" s="2">
        <v>23</v>
      </c>
      <c r="AA2152" s="2">
        <v>14</v>
      </c>
      <c r="AB2152" s="2">
        <v>3</v>
      </c>
      <c r="AC2152" s="2">
        <v>10</v>
      </c>
      <c r="AD2152" s="2">
        <v>5</v>
      </c>
      <c r="AE2152" s="2" t="s">
        <v>0</v>
      </c>
      <c r="AF2152" s="2">
        <v>1</v>
      </c>
      <c r="AG2152" s="2" t="s">
        <v>49</v>
      </c>
    </row>
    <row r="2153" spans="1:33" ht="51" x14ac:dyDescent="0.2">
      <c r="A2153" s="5" t="str">
        <f>HYPERLINK("http://www.patentics.cn/invokexml.do?sf=ShowPatent&amp;spn=US8804585&amp;sv=0a65e6d7a8843a1b0eafdbd8add5e4bb","US8804585")</f>
        <v>US8804585</v>
      </c>
      <c r="B2153" s="3" t="s">
        <v>9670</v>
      </c>
      <c r="C2153" s="3" t="s">
        <v>9671</v>
      </c>
      <c r="D2153" s="3" t="s">
        <v>52</v>
      </c>
      <c r="E2153" s="3" t="s">
        <v>52</v>
      </c>
      <c r="F2153" s="3" t="s">
        <v>9672</v>
      </c>
      <c r="G2153" s="3" t="s">
        <v>9673</v>
      </c>
      <c r="H2153" s="3" t="s">
        <v>7815</v>
      </c>
      <c r="I2153" s="3" t="s">
        <v>7815</v>
      </c>
      <c r="J2153" s="3" t="s">
        <v>554</v>
      </c>
      <c r="K2153" s="3" t="s">
        <v>457</v>
      </c>
      <c r="L2153" s="3" t="s">
        <v>458</v>
      </c>
      <c r="M2153" s="3" t="s">
        <v>82</v>
      </c>
      <c r="N2153" s="3" t="s">
        <v>9674</v>
      </c>
      <c r="O2153" s="3">
        <v>0</v>
      </c>
      <c r="P2153" s="3">
        <v>22</v>
      </c>
      <c r="Q2153" s="3" t="s">
        <v>60</v>
      </c>
      <c r="R2153" s="3" t="s">
        <v>61</v>
      </c>
      <c r="S2153" s="3">
        <v>20</v>
      </c>
      <c r="T2153" s="3">
        <v>1</v>
      </c>
      <c r="U2153" s="3">
        <v>19</v>
      </c>
      <c r="V2153" s="3">
        <v>11</v>
      </c>
      <c r="W2153" s="3">
        <v>0</v>
      </c>
      <c r="X2153" s="3" t="s">
        <v>147</v>
      </c>
      <c r="Y2153" s="3">
        <v>0</v>
      </c>
      <c r="Z2153" s="3">
        <v>0</v>
      </c>
      <c r="AA2153" s="3">
        <v>0</v>
      </c>
      <c r="AB2153" s="3">
        <v>0</v>
      </c>
      <c r="AC2153" s="3">
        <v>7</v>
      </c>
      <c r="AD2153" s="3">
        <v>7</v>
      </c>
      <c r="AE2153" s="3">
        <v>14</v>
      </c>
      <c r="AF2153" s="3" t="s">
        <v>0</v>
      </c>
      <c r="AG2153" s="3" t="s">
        <v>49</v>
      </c>
    </row>
    <row r="2154" spans="1:33" ht="76.5" x14ac:dyDescent="0.2">
      <c r="A2154" s="4" t="str">
        <f>HYPERLINK("http://www.patentics.cn/invokexml.do?sf=ShowPatent&amp;spn=US20080301514&amp;sv=599661de0c468752e208c55eba711e98","US20080301514")</f>
        <v>US20080301514</v>
      </c>
      <c r="B2154" s="2" t="s">
        <v>9675</v>
      </c>
      <c r="C2154" s="2" t="s">
        <v>9676</v>
      </c>
      <c r="D2154" s="2" t="s">
        <v>346</v>
      </c>
      <c r="E2154" s="2" t="s">
        <v>346</v>
      </c>
      <c r="F2154" s="2" t="s">
        <v>9677</v>
      </c>
      <c r="G2154" s="2" t="s">
        <v>6537</v>
      </c>
      <c r="H2154" s="2" t="s">
        <v>1977</v>
      </c>
      <c r="I2154" s="2" t="s">
        <v>1978</v>
      </c>
      <c r="J2154" s="2" t="s">
        <v>9678</v>
      </c>
      <c r="K2154" s="2" t="s">
        <v>58</v>
      </c>
      <c r="L2154" s="2" t="s">
        <v>7776</v>
      </c>
      <c r="M2154" s="2" t="s">
        <v>0</v>
      </c>
      <c r="N2154" s="2" t="s">
        <v>0</v>
      </c>
      <c r="O2154" s="2">
        <v>9</v>
      </c>
      <c r="P2154" s="2">
        <v>16</v>
      </c>
      <c r="Q2154" s="2" t="s">
        <v>352</v>
      </c>
      <c r="R2154" s="2" t="s">
        <v>47</v>
      </c>
      <c r="S2154" s="2">
        <v>0</v>
      </c>
      <c r="T2154" s="2">
        <v>0</v>
      </c>
      <c r="U2154" s="2">
        <v>0</v>
      </c>
      <c r="V2154" s="2">
        <v>0</v>
      </c>
      <c r="W2154" s="2">
        <v>6</v>
      </c>
      <c r="X2154" s="2" t="s">
        <v>9679</v>
      </c>
      <c r="Y2154" s="2">
        <v>2</v>
      </c>
      <c r="Z2154" s="2">
        <v>4</v>
      </c>
      <c r="AA2154" s="2">
        <v>5</v>
      </c>
      <c r="AB2154" s="2">
        <v>1</v>
      </c>
      <c r="AC2154" s="2">
        <v>11</v>
      </c>
      <c r="AD2154" s="2">
        <v>7</v>
      </c>
      <c r="AE2154" s="2" t="s">
        <v>0</v>
      </c>
      <c r="AF2154" s="2">
        <v>1</v>
      </c>
      <c r="AG2154" s="2" t="s">
        <v>49</v>
      </c>
    </row>
    <row r="2155" spans="1:33" ht="38.25" x14ac:dyDescent="0.2">
      <c r="A2155" s="5" t="str">
        <f>HYPERLINK("http://www.patentics.cn/invokexml.do?sf=ShowPatent&amp;spn=US8553718&amp;sv=5617729e5eda73ea76b1e2dbe7133d40","US8553718")</f>
        <v>US8553718</v>
      </c>
      <c r="B2155" s="3" t="s">
        <v>9680</v>
      </c>
      <c r="C2155" s="3" t="s">
        <v>9681</v>
      </c>
      <c r="D2155" s="3" t="s">
        <v>52</v>
      </c>
      <c r="E2155" s="3" t="s">
        <v>52</v>
      </c>
      <c r="F2155" s="3" t="s">
        <v>9682</v>
      </c>
      <c r="G2155" s="3" t="s">
        <v>9682</v>
      </c>
      <c r="H2155" s="3" t="s">
        <v>6457</v>
      </c>
      <c r="I2155" s="3" t="s">
        <v>2914</v>
      </c>
      <c r="J2155" s="3" t="s">
        <v>1876</v>
      </c>
      <c r="K2155" s="3" t="s">
        <v>70</v>
      </c>
      <c r="L2155" s="3" t="s">
        <v>2535</v>
      </c>
      <c r="M2155" s="3" t="s">
        <v>58</v>
      </c>
      <c r="N2155" s="3" t="s">
        <v>1907</v>
      </c>
      <c r="O2155" s="3">
        <v>0</v>
      </c>
      <c r="P2155" s="3">
        <v>11</v>
      </c>
      <c r="Q2155" s="3" t="s">
        <v>60</v>
      </c>
      <c r="R2155" s="3" t="s">
        <v>61</v>
      </c>
      <c r="S2155" s="3">
        <v>17</v>
      </c>
      <c r="T2155" s="3">
        <v>0</v>
      </c>
      <c r="U2155" s="3">
        <v>17</v>
      </c>
      <c r="V2155" s="3">
        <v>9</v>
      </c>
      <c r="W2155" s="3">
        <v>0</v>
      </c>
      <c r="X2155" s="3" t="s">
        <v>147</v>
      </c>
      <c r="Y2155" s="3">
        <v>0</v>
      </c>
      <c r="Z2155" s="3">
        <v>0</v>
      </c>
      <c r="AA2155" s="3">
        <v>0</v>
      </c>
      <c r="AB2155" s="3">
        <v>0</v>
      </c>
      <c r="AC2155" s="3">
        <v>8</v>
      </c>
      <c r="AD2155" s="3">
        <v>6</v>
      </c>
      <c r="AE2155" s="3">
        <v>14</v>
      </c>
      <c r="AF2155" s="3" t="s">
        <v>0</v>
      </c>
      <c r="AG2155" s="3" t="s">
        <v>49</v>
      </c>
    </row>
    <row r="2156" spans="1:33" ht="89.25" x14ac:dyDescent="0.2">
      <c r="A2156" s="4" t="str">
        <f>HYPERLINK("http://www.patentics.cn/invokexml.do?sf=ShowPatent&amp;spn=US20080280608&amp;sv=30c8bbb86ff64ce8b4a500a41f5eb864","US20080280608")</f>
        <v>US20080280608</v>
      </c>
      <c r="B2156" s="2" t="s">
        <v>9683</v>
      </c>
      <c r="C2156" s="2" t="s">
        <v>9684</v>
      </c>
      <c r="D2156" s="2" t="s">
        <v>346</v>
      </c>
      <c r="E2156" s="2" t="s">
        <v>346</v>
      </c>
      <c r="F2156" s="2" t="s">
        <v>9685</v>
      </c>
      <c r="G2156" s="2" t="s">
        <v>9686</v>
      </c>
      <c r="H2156" s="2" t="s">
        <v>9687</v>
      </c>
      <c r="I2156" s="2" t="s">
        <v>5210</v>
      </c>
      <c r="J2156" s="2" t="s">
        <v>484</v>
      </c>
      <c r="K2156" s="2" t="s">
        <v>43</v>
      </c>
      <c r="L2156" s="2" t="s">
        <v>377</v>
      </c>
      <c r="M2156" s="2" t="s">
        <v>82</v>
      </c>
      <c r="N2156" s="2" t="s">
        <v>9688</v>
      </c>
      <c r="O2156" s="2">
        <v>20</v>
      </c>
      <c r="P2156" s="2">
        <v>7</v>
      </c>
      <c r="Q2156" s="2" t="s">
        <v>352</v>
      </c>
      <c r="R2156" s="2" t="s">
        <v>61</v>
      </c>
      <c r="S2156" s="2">
        <v>0</v>
      </c>
      <c r="T2156" s="2">
        <v>0</v>
      </c>
      <c r="U2156" s="2">
        <v>0</v>
      </c>
      <c r="V2156" s="2">
        <v>0</v>
      </c>
      <c r="W2156" s="2">
        <v>9</v>
      </c>
      <c r="X2156" s="2" t="s">
        <v>9689</v>
      </c>
      <c r="Y2156" s="2">
        <v>0</v>
      </c>
      <c r="Z2156" s="2">
        <v>9</v>
      </c>
      <c r="AA2156" s="2">
        <v>7</v>
      </c>
      <c r="AB2156" s="2">
        <v>3</v>
      </c>
      <c r="AC2156" s="2">
        <v>3</v>
      </c>
      <c r="AD2156" s="2">
        <v>2</v>
      </c>
      <c r="AE2156" s="2" t="s">
        <v>0</v>
      </c>
      <c r="AF2156" s="2">
        <v>1</v>
      </c>
      <c r="AG2156" s="2" t="s">
        <v>49</v>
      </c>
    </row>
    <row r="2157" spans="1:33" ht="76.5" x14ac:dyDescent="0.2">
      <c r="A2157" s="5" t="str">
        <f>HYPERLINK("http://www.patentics.cn/invokexml.do?sf=ShowPatent&amp;spn=US8731551&amp;sv=4e270e5593d6a50fe0385a2b9a854120","US8731551")</f>
        <v>US8731551</v>
      </c>
      <c r="B2157" s="3" t="s">
        <v>5462</v>
      </c>
      <c r="C2157" s="3" t="s">
        <v>5463</v>
      </c>
      <c r="D2157" s="3" t="s">
        <v>52</v>
      </c>
      <c r="E2157" s="3" t="s">
        <v>52</v>
      </c>
      <c r="F2157" s="3" t="s">
        <v>5464</v>
      </c>
      <c r="G2157" s="3" t="s">
        <v>3015</v>
      </c>
      <c r="H2157" s="3" t="s">
        <v>5465</v>
      </c>
      <c r="I2157" s="3" t="s">
        <v>3728</v>
      </c>
      <c r="J2157" s="3" t="s">
        <v>4687</v>
      </c>
      <c r="K2157" s="3" t="s">
        <v>82</v>
      </c>
      <c r="L2157" s="3" t="s">
        <v>83</v>
      </c>
      <c r="M2157" s="3" t="s">
        <v>58</v>
      </c>
      <c r="N2157" s="3" t="s">
        <v>5466</v>
      </c>
      <c r="O2157" s="3">
        <v>0</v>
      </c>
      <c r="P2157" s="3">
        <v>14</v>
      </c>
      <c r="Q2157" s="3" t="s">
        <v>60</v>
      </c>
      <c r="R2157" s="3" t="s">
        <v>61</v>
      </c>
      <c r="S2157" s="3">
        <v>54</v>
      </c>
      <c r="T2157" s="3">
        <v>7</v>
      </c>
      <c r="U2157" s="3">
        <v>47</v>
      </c>
      <c r="V2157" s="3">
        <v>16</v>
      </c>
      <c r="W2157" s="3">
        <v>8</v>
      </c>
      <c r="X2157" s="3" t="s">
        <v>378</v>
      </c>
      <c r="Y2157" s="3">
        <v>1</v>
      </c>
      <c r="Z2157" s="3">
        <v>7</v>
      </c>
      <c r="AA2157" s="3">
        <v>2</v>
      </c>
      <c r="AB2157" s="3">
        <v>2</v>
      </c>
      <c r="AC2157" s="3">
        <v>20</v>
      </c>
      <c r="AD2157" s="3">
        <v>7</v>
      </c>
      <c r="AE2157" s="3">
        <v>14</v>
      </c>
      <c r="AF2157" s="3" t="s">
        <v>0</v>
      </c>
      <c r="AG2157" s="3" t="s">
        <v>49</v>
      </c>
    </row>
    <row r="2158" spans="1:33" ht="76.5" x14ac:dyDescent="0.2">
      <c r="A2158" s="4" t="str">
        <f>HYPERLINK("http://www.patentics.cn/invokexml.do?sf=ShowPatent&amp;spn=US20080253322&amp;sv=60374ef9272eea543f79f65e8c90dc1a","US20080253322")</f>
        <v>US20080253322</v>
      </c>
      <c r="B2158" s="2" t="s">
        <v>9690</v>
      </c>
      <c r="C2158" s="2" t="s">
        <v>9691</v>
      </c>
      <c r="D2158" s="2" t="s">
        <v>346</v>
      </c>
      <c r="E2158" s="2" t="s">
        <v>346</v>
      </c>
      <c r="F2158" s="2" t="s">
        <v>9692</v>
      </c>
      <c r="G2158" s="2" t="s">
        <v>2226</v>
      </c>
      <c r="H2158" s="2" t="s">
        <v>6918</v>
      </c>
      <c r="I2158" s="2" t="s">
        <v>1790</v>
      </c>
      <c r="J2158" s="2" t="s">
        <v>9693</v>
      </c>
      <c r="K2158" s="2" t="s">
        <v>43</v>
      </c>
      <c r="L2158" s="2" t="s">
        <v>57</v>
      </c>
      <c r="M2158" s="2" t="s">
        <v>58</v>
      </c>
      <c r="N2158" s="2" t="s">
        <v>9694</v>
      </c>
      <c r="O2158" s="2">
        <v>14</v>
      </c>
      <c r="P2158" s="2">
        <v>5</v>
      </c>
      <c r="Q2158" s="2" t="s">
        <v>352</v>
      </c>
      <c r="R2158" s="2" t="s">
        <v>61</v>
      </c>
      <c r="S2158" s="2">
        <v>0</v>
      </c>
      <c r="T2158" s="2">
        <v>0</v>
      </c>
      <c r="U2158" s="2">
        <v>0</v>
      </c>
      <c r="V2158" s="2">
        <v>0</v>
      </c>
      <c r="W2158" s="2">
        <v>28</v>
      </c>
      <c r="X2158" s="2" t="s">
        <v>9695</v>
      </c>
      <c r="Y2158" s="2">
        <v>0</v>
      </c>
      <c r="Z2158" s="2">
        <v>28</v>
      </c>
      <c r="AA2158" s="2">
        <v>18</v>
      </c>
      <c r="AB2158" s="2">
        <v>4</v>
      </c>
      <c r="AC2158" s="2">
        <v>4</v>
      </c>
      <c r="AD2158" s="2">
        <v>5</v>
      </c>
      <c r="AE2158" s="2" t="s">
        <v>0</v>
      </c>
      <c r="AF2158" s="2">
        <v>1</v>
      </c>
      <c r="AG2158" s="2" t="s">
        <v>2231</v>
      </c>
    </row>
    <row r="2159" spans="1:33" ht="114.75" x14ac:dyDescent="0.2">
      <c r="A2159" s="5" t="str">
        <f>HYPERLINK("http://www.patentics.cn/invokexml.do?sf=ShowPatent&amp;spn=US8554205&amp;sv=f945601baa88b6f9df3a4eb87cd80cec","US8554205")</f>
        <v>US8554205</v>
      </c>
      <c r="B2159" s="3" t="s">
        <v>9696</v>
      </c>
      <c r="C2159" s="3" t="s">
        <v>9697</v>
      </c>
      <c r="D2159" s="3" t="s">
        <v>52</v>
      </c>
      <c r="E2159" s="3" t="s">
        <v>52</v>
      </c>
      <c r="F2159" s="3" t="s">
        <v>9698</v>
      </c>
      <c r="G2159" s="3" t="s">
        <v>9699</v>
      </c>
      <c r="H2159" s="3" t="s">
        <v>2227</v>
      </c>
      <c r="I2159" s="3" t="s">
        <v>2227</v>
      </c>
      <c r="J2159" s="3" t="s">
        <v>1876</v>
      </c>
      <c r="K2159" s="3" t="s">
        <v>82</v>
      </c>
      <c r="L2159" s="3" t="s">
        <v>83</v>
      </c>
      <c r="M2159" s="3" t="s">
        <v>82</v>
      </c>
      <c r="N2159" s="3" t="s">
        <v>2048</v>
      </c>
      <c r="O2159" s="3">
        <v>0</v>
      </c>
      <c r="P2159" s="3">
        <v>22</v>
      </c>
      <c r="Q2159" s="3" t="s">
        <v>60</v>
      </c>
      <c r="R2159" s="3" t="s">
        <v>61</v>
      </c>
      <c r="S2159" s="3">
        <v>22</v>
      </c>
      <c r="T2159" s="3">
        <v>4</v>
      </c>
      <c r="U2159" s="3">
        <v>18</v>
      </c>
      <c r="V2159" s="3">
        <v>11</v>
      </c>
      <c r="W2159" s="3">
        <v>1</v>
      </c>
      <c r="X2159" s="3" t="s">
        <v>7247</v>
      </c>
      <c r="Y2159" s="3">
        <v>1</v>
      </c>
      <c r="Z2159" s="3">
        <v>0</v>
      </c>
      <c r="AA2159" s="3">
        <v>1</v>
      </c>
      <c r="AB2159" s="3">
        <v>1</v>
      </c>
      <c r="AC2159" s="3">
        <v>11</v>
      </c>
      <c r="AD2159" s="3">
        <v>7</v>
      </c>
      <c r="AE2159" s="3">
        <v>14</v>
      </c>
      <c r="AF2159" s="3" t="s">
        <v>0</v>
      </c>
      <c r="AG2159" s="3" t="s">
        <v>49</v>
      </c>
    </row>
    <row r="2160" spans="1:33" ht="38.25" x14ac:dyDescent="0.2">
      <c r="A2160" s="4" t="str">
        <f>HYPERLINK("http://www.patentics.cn/invokexml.do?sf=ShowPatent&amp;spn=US20080220790&amp;sv=b1fa250c3af536e7494d4d8986aa6842","US20080220790")</f>
        <v>US20080220790</v>
      </c>
      <c r="B2160" s="2" t="s">
        <v>9700</v>
      </c>
      <c r="C2160" s="2" t="s">
        <v>4337</v>
      </c>
      <c r="D2160" s="2" t="s">
        <v>346</v>
      </c>
      <c r="E2160" s="2" t="s">
        <v>346</v>
      </c>
      <c r="F2160" s="2" t="s">
        <v>4338</v>
      </c>
      <c r="G2160" s="2" t="s">
        <v>1314</v>
      </c>
      <c r="H2160" s="2" t="s">
        <v>4339</v>
      </c>
      <c r="I2160" s="2" t="s">
        <v>4340</v>
      </c>
      <c r="J2160" s="2" t="s">
        <v>9701</v>
      </c>
      <c r="K2160" s="2" t="s">
        <v>43</v>
      </c>
      <c r="L2160" s="2" t="s">
        <v>377</v>
      </c>
      <c r="M2160" s="2" t="s">
        <v>82</v>
      </c>
      <c r="N2160" s="2" t="s">
        <v>4341</v>
      </c>
      <c r="O2160" s="2">
        <v>18</v>
      </c>
      <c r="P2160" s="2">
        <v>35</v>
      </c>
      <c r="Q2160" s="2" t="s">
        <v>352</v>
      </c>
      <c r="R2160" s="2" t="s">
        <v>61</v>
      </c>
      <c r="S2160" s="2">
        <v>0</v>
      </c>
      <c r="T2160" s="2">
        <v>0</v>
      </c>
      <c r="U2160" s="2">
        <v>0</v>
      </c>
      <c r="V2160" s="2">
        <v>0</v>
      </c>
      <c r="W2160" s="2">
        <v>42</v>
      </c>
      <c r="X2160" s="2" t="s">
        <v>9702</v>
      </c>
      <c r="Y2160" s="2">
        <v>0</v>
      </c>
      <c r="Z2160" s="2">
        <v>42</v>
      </c>
      <c r="AA2160" s="2">
        <v>20</v>
      </c>
      <c r="AB2160" s="2">
        <v>6</v>
      </c>
      <c r="AC2160" s="2">
        <v>9</v>
      </c>
      <c r="AD2160" s="2">
        <v>6</v>
      </c>
      <c r="AE2160" s="2" t="s">
        <v>0</v>
      </c>
      <c r="AF2160" s="2">
        <v>1</v>
      </c>
      <c r="AG2160" s="2" t="s">
        <v>49</v>
      </c>
    </row>
    <row r="2161" spans="1:33" ht="127.5" x14ac:dyDescent="0.2">
      <c r="A2161" s="5" t="str">
        <f>HYPERLINK("http://www.patentics.cn/invokexml.do?sf=ShowPatent&amp;spn=US8611333&amp;sv=c7a5a49fb67b12d12a9682636f1991bc","US8611333")</f>
        <v>US8611333</v>
      </c>
      <c r="B2161" s="3" t="s">
        <v>9703</v>
      </c>
      <c r="C2161" s="3" t="s">
        <v>9704</v>
      </c>
      <c r="D2161" s="3" t="s">
        <v>52</v>
      </c>
      <c r="E2161" s="3" t="s">
        <v>52</v>
      </c>
      <c r="F2161" s="3" t="s">
        <v>9705</v>
      </c>
      <c r="G2161" s="3" t="s">
        <v>78</v>
      </c>
      <c r="H2161" s="3" t="s">
        <v>1176</v>
      </c>
      <c r="I2161" s="3" t="s">
        <v>7608</v>
      </c>
      <c r="J2161" s="3" t="s">
        <v>144</v>
      </c>
      <c r="K2161" s="3" t="s">
        <v>84</v>
      </c>
      <c r="L2161" s="3" t="s">
        <v>278</v>
      </c>
      <c r="M2161" s="3" t="s">
        <v>84</v>
      </c>
      <c r="N2161" s="3" t="s">
        <v>6458</v>
      </c>
      <c r="O2161" s="3">
        <v>0</v>
      </c>
      <c r="P2161" s="3">
        <v>23</v>
      </c>
      <c r="Q2161" s="3" t="s">
        <v>60</v>
      </c>
      <c r="R2161" s="3" t="s">
        <v>61</v>
      </c>
      <c r="S2161" s="3">
        <v>13</v>
      </c>
      <c r="T2161" s="3">
        <v>0</v>
      </c>
      <c r="U2161" s="3">
        <v>13</v>
      </c>
      <c r="V2161" s="3">
        <v>10</v>
      </c>
      <c r="W2161" s="3">
        <v>2</v>
      </c>
      <c r="X2161" s="3" t="s">
        <v>580</v>
      </c>
      <c r="Y2161" s="3">
        <v>0</v>
      </c>
      <c r="Z2161" s="3">
        <v>2</v>
      </c>
      <c r="AA2161" s="3">
        <v>1</v>
      </c>
      <c r="AB2161" s="3">
        <v>1</v>
      </c>
      <c r="AC2161" s="3">
        <v>7</v>
      </c>
      <c r="AD2161" s="3">
        <v>7</v>
      </c>
      <c r="AE2161" s="3">
        <v>14</v>
      </c>
      <c r="AF2161" s="3" t="s">
        <v>0</v>
      </c>
      <c r="AG2161" s="3" t="s">
        <v>49</v>
      </c>
    </row>
    <row r="2162" spans="1:33" ht="89.25" x14ac:dyDescent="0.2">
      <c r="A2162" s="4" t="str">
        <f>HYPERLINK("http://www.patentics.cn/invokexml.do?sf=ShowPatent&amp;spn=US20080101291&amp;sv=73c24c8a76c7fa34328742162c12b30f","US20080101291")</f>
        <v>US20080101291</v>
      </c>
      <c r="B2162" s="2" t="s">
        <v>9706</v>
      </c>
      <c r="C2162" s="2" t="s">
        <v>9707</v>
      </c>
      <c r="D2162" s="2" t="s">
        <v>346</v>
      </c>
      <c r="E2162" s="2" t="s">
        <v>346</v>
      </c>
      <c r="F2162" s="2" t="s">
        <v>1209</v>
      </c>
      <c r="G2162" s="2" t="s">
        <v>1210</v>
      </c>
      <c r="H2162" s="2" t="s">
        <v>1211</v>
      </c>
      <c r="I2162" s="2" t="s">
        <v>1213</v>
      </c>
      <c r="J2162" s="2" t="s">
        <v>9708</v>
      </c>
      <c r="K2162" s="2" t="s">
        <v>43</v>
      </c>
      <c r="L2162" s="2" t="s">
        <v>57</v>
      </c>
      <c r="M2162" s="2" t="s">
        <v>82</v>
      </c>
      <c r="N2162" s="2" t="s">
        <v>1214</v>
      </c>
      <c r="O2162" s="2">
        <v>9</v>
      </c>
      <c r="P2162" s="2">
        <v>13</v>
      </c>
      <c r="Q2162" s="2" t="s">
        <v>352</v>
      </c>
      <c r="R2162" s="2" t="s">
        <v>61</v>
      </c>
      <c r="S2162" s="2">
        <v>2</v>
      </c>
      <c r="T2162" s="2">
        <v>2</v>
      </c>
      <c r="U2162" s="2">
        <v>0</v>
      </c>
      <c r="V2162" s="2">
        <v>1</v>
      </c>
      <c r="W2162" s="2">
        <v>43</v>
      </c>
      <c r="X2162" s="2" t="s">
        <v>9709</v>
      </c>
      <c r="Y2162" s="2">
        <v>3</v>
      </c>
      <c r="Z2162" s="2">
        <v>40</v>
      </c>
      <c r="AA2162" s="2">
        <v>22</v>
      </c>
      <c r="AB2162" s="2">
        <v>1</v>
      </c>
      <c r="AC2162" s="2">
        <v>6</v>
      </c>
      <c r="AD2162" s="2">
        <v>3</v>
      </c>
      <c r="AE2162" s="2" t="s">
        <v>0</v>
      </c>
      <c r="AF2162" s="2">
        <v>1</v>
      </c>
      <c r="AG2162" s="2" t="s">
        <v>49</v>
      </c>
    </row>
    <row r="2163" spans="1:33" ht="76.5" x14ac:dyDescent="0.2">
      <c r="A2163" s="5" t="str">
        <f>HYPERLINK("http://www.patentics.cn/invokexml.do?sf=ShowPatent&amp;spn=US8064927&amp;sv=a4696b3ac81cfc91c343f5c903af0213","US8064927")</f>
        <v>US8064927</v>
      </c>
      <c r="B2163" s="3" t="s">
        <v>1515</v>
      </c>
      <c r="C2163" s="3" t="s">
        <v>1516</v>
      </c>
      <c r="D2163" s="3" t="s">
        <v>52</v>
      </c>
      <c r="E2163" s="3" t="s">
        <v>52</v>
      </c>
      <c r="F2163" s="3" t="s">
        <v>1517</v>
      </c>
      <c r="G2163" s="3" t="s">
        <v>1518</v>
      </c>
      <c r="H2163" s="3" t="s">
        <v>859</v>
      </c>
      <c r="I2163" s="3" t="s">
        <v>1519</v>
      </c>
      <c r="J2163" s="3" t="s">
        <v>1520</v>
      </c>
      <c r="K2163" s="3" t="s">
        <v>43</v>
      </c>
      <c r="L2163" s="3" t="s">
        <v>377</v>
      </c>
      <c r="M2163" s="3" t="s">
        <v>58</v>
      </c>
      <c r="N2163" s="3" t="s">
        <v>1521</v>
      </c>
      <c r="O2163" s="3">
        <v>0</v>
      </c>
      <c r="P2163" s="3">
        <v>11</v>
      </c>
      <c r="Q2163" s="3" t="s">
        <v>60</v>
      </c>
      <c r="R2163" s="3" t="s">
        <v>61</v>
      </c>
      <c r="S2163" s="3">
        <v>94</v>
      </c>
      <c r="T2163" s="3">
        <v>4</v>
      </c>
      <c r="U2163" s="3">
        <v>90</v>
      </c>
      <c r="V2163" s="3">
        <v>39</v>
      </c>
      <c r="W2163" s="3">
        <v>20</v>
      </c>
      <c r="X2163" s="3" t="s">
        <v>580</v>
      </c>
      <c r="Y2163" s="3">
        <v>0</v>
      </c>
      <c r="Z2163" s="3">
        <v>20</v>
      </c>
      <c r="AA2163" s="3">
        <v>2</v>
      </c>
      <c r="AB2163" s="3">
        <v>2</v>
      </c>
      <c r="AC2163" s="3">
        <v>31</v>
      </c>
      <c r="AD2163" s="3">
        <v>10</v>
      </c>
      <c r="AE2163" s="3">
        <v>14</v>
      </c>
      <c r="AF2163" s="3" t="s">
        <v>0</v>
      </c>
      <c r="AG2163" s="3" t="s">
        <v>49</v>
      </c>
    </row>
    <row r="2164" spans="1:33" ht="38.25" x14ac:dyDescent="0.2">
      <c r="A2164" s="4" t="str">
        <f>HYPERLINK("http://www.patentics.cn/invokexml.do?sf=ShowPatent&amp;spn=US20070253467&amp;sv=548e951db1e6b30a3608440602d897b7","US20070253467")</f>
        <v>US20070253467</v>
      </c>
      <c r="B2164" s="2" t="s">
        <v>9710</v>
      </c>
      <c r="C2164" s="2" t="s">
        <v>9711</v>
      </c>
      <c r="D2164" s="2" t="s">
        <v>346</v>
      </c>
      <c r="E2164" s="2" t="s">
        <v>346</v>
      </c>
      <c r="F2164" s="2" t="s">
        <v>9712</v>
      </c>
      <c r="G2164" s="2" t="s">
        <v>9712</v>
      </c>
      <c r="H2164" s="2" t="s">
        <v>223</v>
      </c>
      <c r="I2164" s="2" t="s">
        <v>9713</v>
      </c>
      <c r="J2164" s="2" t="s">
        <v>9714</v>
      </c>
      <c r="K2164" s="2" t="s">
        <v>84</v>
      </c>
      <c r="L2164" s="2" t="s">
        <v>310</v>
      </c>
      <c r="M2164" s="2" t="s">
        <v>0</v>
      </c>
      <c r="N2164" s="2" t="s">
        <v>0</v>
      </c>
      <c r="O2164" s="2">
        <v>21</v>
      </c>
      <c r="P2164" s="2">
        <v>13</v>
      </c>
      <c r="Q2164" s="2" t="s">
        <v>352</v>
      </c>
      <c r="R2164" s="2" t="s">
        <v>61</v>
      </c>
      <c r="S2164" s="2">
        <v>0</v>
      </c>
      <c r="T2164" s="2">
        <v>0</v>
      </c>
      <c r="U2164" s="2">
        <v>0</v>
      </c>
      <c r="V2164" s="2">
        <v>0</v>
      </c>
      <c r="W2164" s="2">
        <v>5</v>
      </c>
      <c r="X2164" s="2" t="s">
        <v>1884</v>
      </c>
      <c r="Y2164" s="2">
        <v>1</v>
      </c>
      <c r="Z2164" s="2">
        <v>4</v>
      </c>
      <c r="AA2164" s="2">
        <v>4</v>
      </c>
      <c r="AB2164" s="2">
        <v>2</v>
      </c>
      <c r="AC2164" s="2">
        <v>1</v>
      </c>
      <c r="AD2164" s="2">
        <v>1</v>
      </c>
      <c r="AE2164" s="2" t="s">
        <v>0</v>
      </c>
      <c r="AF2164" s="2">
        <v>1</v>
      </c>
      <c r="AG2164" s="2" t="s">
        <v>49</v>
      </c>
    </row>
    <row r="2165" spans="1:33" ht="63.75" x14ac:dyDescent="0.2">
      <c r="A2165" s="5" t="str">
        <f>HYPERLINK("http://www.patentics.cn/invokexml.do?sf=ShowPatent&amp;spn=US8787344&amp;sv=d264f5f3c3c45132597f1940d11893da","US8787344")</f>
        <v>US8787344</v>
      </c>
      <c r="B2165" s="3" t="s">
        <v>9715</v>
      </c>
      <c r="C2165" s="3" t="s">
        <v>9716</v>
      </c>
      <c r="D2165" s="3" t="s">
        <v>52</v>
      </c>
      <c r="E2165" s="3" t="s">
        <v>52</v>
      </c>
      <c r="F2165" s="3" t="s">
        <v>9717</v>
      </c>
      <c r="G2165" s="3" t="s">
        <v>3479</v>
      </c>
      <c r="H2165" s="3" t="s">
        <v>9713</v>
      </c>
      <c r="I2165" s="3" t="s">
        <v>1586</v>
      </c>
      <c r="J2165" s="3" t="s">
        <v>169</v>
      </c>
      <c r="K2165" s="3" t="s">
        <v>84</v>
      </c>
      <c r="L2165" s="3" t="s">
        <v>127</v>
      </c>
      <c r="M2165" s="3" t="s">
        <v>58</v>
      </c>
      <c r="N2165" s="3" t="s">
        <v>579</v>
      </c>
      <c r="O2165" s="3">
        <v>0</v>
      </c>
      <c r="P2165" s="3">
        <v>13</v>
      </c>
      <c r="Q2165" s="3" t="s">
        <v>60</v>
      </c>
      <c r="R2165" s="3" t="s">
        <v>61</v>
      </c>
      <c r="S2165" s="3">
        <v>48</v>
      </c>
      <c r="T2165" s="3">
        <v>4</v>
      </c>
      <c r="U2165" s="3">
        <v>44</v>
      </c>
      <c r="V2165" s="3">
        <v>22</v>
      </c>
      <c r="W2165" s="3">
        <v>14</v>
      </c>
      <c r="X2165" s="3" t="s">
        <v>147</v>
      </c>
      <c r="Y2165" s="3">
        <v>0</v>
      </c>
      <c r="Z2165" s="3">
        <v>14</v>
      </c>
      <c r="AA2165" s="3">
        <v>0</v>
      </c>
      <c r="AB2165" s="3">
        <v>1</v>
      </c>
      <c r="AC2165" s="3">
        <v>31</v>
      </c>
      <c r="AD2165" s="3">
        <v>17</v>
      </c>
      <c r="AE2165" s="3">
        <v>14</v>
      </c>
      <c r="AF2165" s="3" t="s">
        <v>0</v>
      </c>
      <c r="AG2165" s="3" t="s">
        <v>49</v>
      </c>
    </row>
    <row r="2166" spans="1:33" ht="51" x14ac:dyDescent="0.2">
      <c r="A2166" s="4" t="str">
        <f>HYPERLINK("http://www.patentics.cn/invokexml.do?sf=ShowPatent&amp;spn=US20070225024&amp;sv=5f9506dbcad4fefb4eec243c7aa733a6","US20070225024")</f>
        <v>US20070225024</v>
      </c>
      <c r="B2166" s="2" t="s">
        <v>9718</v>
      </c>
      <c r="C2166" s="2" t="s">
        <v>9719</v>
      </c>
      <c r="D2166" s="2" t="s">
        <v>346</v>
      </c>
      <c r="E2166" s="2" t="s">
        <v>346</v>
      </c>
      <c r="F2166" s="2" t="s">
        <v>9720</v>
      </c>
      <c r="G2166" s="2" t="s">
        <v>9720</v>
      </c>
      <c r="H2166" s="2" t="s">
        <v>9721</v>
      </c>
      <c r="I2166" s="2" t="s">
        <v>9721</v>
      </c>
      <c r="J2166" s="2" t="s">
        <v>8272</v>
      </c>
      <c r="K2166" s="2" t="s">
        <v>43</v>
      </c>
      <c r="L2166" s="2" t="s">
        <v>377</v>
      </c>
      <c r="M2166" s="2" t="s">
        <v>0</v>
      </c>
      <c r="N2166" s="2" t="s">
        <v>0</v>
      </c>
      <c r="O2166" s="2">
        <v>14</v>
      </c>
      <c r="P2166" s="2">
        <v>25</v>
      </c>
      <c r="Q2166" s="2" t="s">
        <v>352</v>
      </c>
      <c r="R2166" s="2" t="s">
        <v>47</v>
      </c>
      <c r="S2166" s="2">
        <v>0</v>
      </c>
      <c r="T2166" s="2">
        <v>0</v>
      </c>
      <c r="U2166" s="2">
        <v>0</v>
      </c>
      <c r="V2166" s="2">
        <v>0</v>
      </c>
      <c r="W2166" s="2">
        <v>6</v>
      </c>
      <c r="X2166" s="2" t="s">
        <v>8141</v>
      </c>
      <c r="Y2166" s="2">
        <v>0</v>
      </c>
      <c r="Z2166" s="2">
        <v>6</v>
      </c>
      <c r="AA2166" s="2">
        <v>3</v>
      </c>
      <c r="AB2166" s="2">
        <v>2</v>
      </c>
      <c r="AC2166" s="2">
        <v>7</v>
      </c>
      <c r="AD2166" s="2">
        <v>5</v>
      </c>
      <c r="AE2166" s="2" t="s">
        <v>0</v>
      </c>
      <c r="AF2166" s="2">
        <v>1</v>
      </c>
      <c r="AG2166" s="2" t="s">
        <v>49</v>
      </c>
    </row>
    <row r="2167" spans="1:33" ht="89.25" x14ac:dyDescent="0.2">
      <c r="A2167" s="5" t="str">
        <f>HYPERLINK("http://www.patentics.cn/invokexml.do?sf=ShowPatent&amp;spn=US8103299&amp;sv=031c163b0b9f8094c7dd9da49360947d","US8103299")</f>
        <v>US8103299</v>
      </c>
      <c r="B2167" s="3" t="s">
        <v>9722</v>
      </c>
      <c r="C2167" s="3" t="s">
        <v>9723</v>
      </c>
      <c r="D2167" s="3" t="s">
        <v>52</v>
      </c>
      <c r="E2167" s="3" t="s">
        <v>52</v>
      </c>
      <c r="F2167" s="3" t="s">
        <v>9724</v>
      </c>
      <c r="G2167" s="3" t="s">
        <v>9725</v>
      </c>
      <c r="H2167" s="3" t="s">
        <v>9581</v>
      </c>
      <c r="I2167" s="3" t="s">
        <v>1017</v>
      </c>
      <c r="J2167" s="3" t="s">
        <v>9726</v>
      </c>
      <c r="K2167" s="3" t="s">
        <v>43</v>
      </c>
      <c r="L2167" s="3" t="s">
        <v>377</v>
      </c>
      <c r="M2167" s="3" t="s">
        <v>82</v>
      </c>
      <c r="N2167" s="3" t="s">
        <v>3997</v>
      </c>
      <c r="O2167" s="3">
        <v>0</v>
      </c>
      <c r="P2167" s="3">
        <v>14</v>
      </c>
      <c r="Q2167" s="3" t="s">
        <v>60</v>
      </c>
      <c r="R2167" s="3" t="s">
        <v>61</v>
      </c>
      <c r="S2167" s="3">
        <v>7</v>
      </c>
      <c r="T2167" s="3">
        <v>1</v>
      </c>
      <c r="U2167" s="3">
        <v>6</v>
      </c>
      <c r="V2167" s="3">
        <v>5</v>
      </c>
      <c r="W2167" s="3">
        <v>0</v>
      </c>
      <c r="X2167" s="3" t="s">
        <v>147</v>
      </c>
      <c r="Y2167" s="3">
        <v>0</v>
      </c>
      <c r="Z2167" s="3">
        <v>0</v>
      </c>
      <c r="AA2167" s="3">
        <v>0</v>
      </c>
      <c r="AB2167" s="3">
        <v>0</v>
      </c>
      <c r="AC2167" s="3">
        <v>6</v>
      </c>
      <c r="AD2167" s="3">
        <v>6</v>
      </c>
      <c r="AE2167" s="3">
        <v>14</v>
      </c>
      <c r="AF2167" s="3" t="s">
        <v>0</v>
      </c>
      <c r="AG2167" s="3" t="s">
        <v>49</v>
      </c>
    </row>
    <row r="2168" spans="1:33" ht="38.25" x14ac:dyDescent="0.2">
      <c r="A2168" s="4" t="str">
        <f>HYPERLINK("http://www.patentics.cn/invokexml.do?sf=ShowPatent&amp;spn=US9179350&amp;sv=90584c6649ad4e1abb5a6a2e0367e487","US9179350")</f>
        <v>US9179350</v>
      </c>
      <c r="B2168" s="2" t="s">
        <v>9727</v>
      </c>
      <c r="C2168" s="2" t="s">
        <v>9728</v>
      </c>
      <c r="D2168" s="2" t="s">
        <v>346</v>
      </c>
      <c r="E2168" s="2" t="s">
        <v>346</v>
      </c>
      <c r="F2168" s="2" t="s">
        <v>9729</v>
      </c>
      <c r="G2168" s="2" t="s">
        <v>9730</v>
      </c>
      <c r="H2168" s="2" t="s">
        <v>9731</v>
      </c>
      <c r="I2168" s="2" t="s">
        <v>9732</v>
      </c>
      <c r="J2168" s="2" t="s">
        <v>269</v>
      </c>
      <c r="K2168" s="2" t="s">
        <v>82</v>
      </c>
      <c r="L2168" s="2" t="s">
        <v>2215</v>
      </c>
      <c r="M2168" s="2" t="s">
        <v>82</v>
      </c>
      <c r="N2168" s="2" t="s">
        <v>799</v>
      </c>
      <c r="O2168" s="2">
        <v>0</v>
      </c>
      <c r="P2168" s="2">
        <v>35</v>
      </c>
      <c r="Q2168" s="2" t="s">
        <v>60</v>
      </c>
      <c r="R2168" s="2" t="s">
        <v>47</v>
      </c>
      <c r="S2168" s="2">
        <v>11</v>
      </c>
      <c r="T2168" s="2">
        <v>1</v>
      </c>
      <c r="U2168" s="2">
        <v>10</v>
      </c>
      <c r="V2168" s="2">
        <v>8</v>
      </c>
      <c r="W2168" s="2">
        <v>2</v>
      </c>
      <c r="X2168" s="2" t="s">
        <v>3185</v>
      </c>
      <c r="Y2168" s="2">
        <v>0</v>
      </c>
      <c r="Z2168" s="2">
        <v>2</v>
      </c>
      <c r="AA2168" s="2">
        <v>2</v>
      </c>
      <c r="AB2168" s="2">
        <v>1</v>
      </c>
      <c r="AC2168" s="2">
        <v>5</v>
      </c>
      <c r="AD2168" s="2">
        <v>5</v>
      </c>
      <c r="AE2168" s="2" t="s">
        <v>0</v>
      </c>
      <c r="AF2168" s="2">
        <v>1</v>
      </c>
      <c r="AG2168" s="2" t="s">
        <v>49</v>
      </c>
    </row>
    <row r="2169" spans="1:33" ht="89.25" x14ac:dyDescent="0.2">
      <c r="A2169" s="5" t="str">
        <f>HYPERLINK("http://www.patentics.cn/invokexml.do?sf=ShowPatent&amp;spn=US9294202&amp;sv=071a77bdc5f16fd63d4473f3d8a1c4d4","US9294202")</f>
        <v>US9294202</v>
      </c>
      <c r="B2169" s="3" t="s">
        <v>9733</v>
      </c>
      <c r="C2169" s="3" t="s">
        <v>9734</v>
      </c>
      <c r="D2169" s="3" t="s">
        <v>52</v>
      </c>
      <c r="E2169" s="3" t="s">
        <v>52</v>
      </c>
      <c r="F2169" s="3" t="s">
        <v>9735</v>
      </c>
      <c r="G2169" s="3" t="s">
        <v>9736</v>
      </c>
      <c r="H2169" s="3" t="s">
        <v>9737</v>
      </c>
      <c r="I2169" s="3" t="s">
        <v>9737</v>
      </c>
      <c r="J2169" s="3" t="s">
        <v>696</v>
      </c>
      <c r="K2169" s="3" t="s">
        <v>84</v>
      </c>
      <c r="L2169" s="3" t="s">
        <v>310</v>
      </c>
      <c r="M2169" s="3" t="s">
        <v>84</v>
      </c>
      <c r="N2169" s="3" t="s">
        <v>9738</v>
      </c>
      <c r="O2169" s="3">
        <v>0</v>
      </c>
      <c r="P2169" s="3">
        <v>16</v>
      </c>
      <c r="Q2169" s="3" t="s">
        <v>60</v>
      </c>
      <c r="R2169" s="3" t="s">
        <v>61</v>
      </c>
      <c r="S2169" s="3">
        <v>23</v>
      </c>
      <c r="T2169" s="3">
        <v>1</v>
      </c>
      <c r="U2169" s="3">
        <v>22</v>
      </c>
      <c r="V2169" s="3">
        <v>12</v>
      </c>
      <c r="W2169" s="3">
        <v>0</v>
      </c>
      <c r="X2169" s="3" t="s">
        <v>147</v>
      </c>
      <c r="Y2169" s="3">
        <v>0</v>
      </c>
      <c r="Z2169" s="3">
        <v>0</v>
      </c>
      <c r="AA2169" s="3">
        <v>0</v>
      </c>
      <c r="AB2169" s="3">
        <v>0</v>
      </c>
      <c r="AC2169" s="3">
        <v>2</v>
      </c>
      <c r="AD2169" s="3">
        <v>2</v>
      </c>
      <c r="AE2169" s="3">
        <v>14</v>
      </c>
      <c r="AF2169" s="3" t="s">
        <v>0</v>
      </c>
      <c r="AG2169" s="3" t="s">
        <v>49</v>
      </c>
    </row>
    <row r="2170" spans="1:33" ht="89.25" x14ac:dyDescent="0.2">
      <c r="A2170" s="4" t="str">
        <f>HYPERLINK("http://www.patentics.cn/invokexml.do?sf=ShowPatent&amp;spn=US9031040&amp;sv=ecb22f65a174c4a6affcf9d05987a35f","US9031040")</f>
        <v>US9031040</v>
      </c>
      <c r="B2170" s="2" t="s">
        <v>9739</v>
      </c>
      <c r="C2170" s="2" t="s">
        <v>9740</v>
      </c>
      <c r="D2170" s="2" t="s">
        <v>346</v>
      </c>
      <c r="E2170" s="2" t="s">
        <v>346</v>
      </c>
      <c r="F2170" s="2" t="s">
        <v>9741</v>
      </c>
      <c r="G2170" s="2" t="s">
        <v>9742</v>
      </c>
      <c r="H2170" s="2" t="s">
        <v>1443</v>
      </c>
      <c r="I2170" s="2" t="s">
        <v>3618</v>
      </c>
      <c r="J2170" s="2" t="s">
        <v>502</v>
      </c>
      <c r="K2170" s="2" t="s">
        <v>70</v>
      </c>
      <c r="L2170" s="2" t="s">
        <v>153</v>
      </c>
      <c r="M2170" s="2" t="s">
        <v>0</v>
      </c>
      <c r="N2170" s="2" t="s">
        <v>0</v>
      </c>
      <c r="O2170" s="2">
        <v>0</v>
      </c>
      <c r="P2170" s="2">
        <v>26</v>
      </c>
      <c r="Q2170" s="2" t="s">
        <v>60</v>
      </c>
      <c r="R2170" s="2" t="s">
        <v>47</v>
      </c>
      <c r="S2170" s="2">
        <v>12</v>
      </c>
      <c r="T2170" s="2">
        <v>2</v>
      </c>
      <c r="U2170" s="2">
        <v>10</v>
      </c>
      <c r="V2170" s="2">
        <v>7</v>
      </c>
      <c r="W2170" s="2">
        <v>1</v>
      </c>
      <c r="X2170" s="2" t="s">
        <v>74</v>
      </c>
      <c r="Y2170" s="2">
        <v>0</v>
      </c>
      <c r="Z2170" s="2">
        <v>1</v>
      </c>
      <c r="AA2170" s="2">
        <v>1</v>
      </c>
      <c r="AB2170" s="2">
        <v>1</v>
      </c>
      <c r="AC2170" s="2">
        <v>4</v>
      </c>
      <c r="AD2170" s="2">
        <v>4</v>
      </c>
      <c r="AE2170" s="2" t="s">
        <v>0</v>
      </c>
      <c r="AF2170" s="2">
        <v>1</v>
      </c>
      <c r="AG2170" s="2" t="s">
        <v>49</v>
      </c>
    </row>
    <row r="2171" spans="1:33" ht="51" x14ac:dyDescent="0.2">
      <c r="A2171" s="5" t="str">
        <f>HYPERLINK("http://www.patentics.cn/invokexml.do?sf=ShowPatent&amp;spn=US9143957&amp;sv=689f6e8784c86f2003593743821e7140","US9143957")</f>
        <v>US9143957</v>
      </c>
      <c r="B2171" s="3" t="s">
        <v>9743</v>
      </c>
      <c r="C2171" s="3" t="s">
        <v>9744</v>
      </c>
      <c r="D2171" s="3" t="s">
        <v>52</v>
      </c>
      <c r="E2171" s="3" t="s">
        <v>52</v>
      </c>
      <c r="F2171" s="3" t="s">
        <v>9745</v>
      </c>
      <c r="G2171" s="3" t="s">
        <v>9746</v>
      </c>
      <c r="H2171" s="3" t="s">
        <v>9747</v>
      </c>
      <c r="I2171" s="3" t="s">
        <v>2014</v>
      </c>
      <c r="J2171" s="3" t="s">
        <v>240</v>
      </c>
      <c r="K2171" s="3" t="s">
        <v>82</v>
      </c>
      <c r="L2171" s="3" t="s">
        <v>2817</v>
      </c>
      <c r="M2171" s="3" t="s">
        <v>82</v>
      </c>
      <c r="N2171" s="3" t="s">
        <v>958</v>
      </c>
      <c r="O2171" s="3">
        <v>0</v>
      </c>
      <c r="P2171" s="3">
        <v>12</v>
      </c>
      <c r="Q2171" s="3" t="s">
        <v>60</v>
      </c>
      <c r="R2171" s="3" t="s">
        <v>61</v>
      </c>
      <c r="S2171" s="3">
        <v>34</v>
      </c>
      <c r="T2171" s="3">
        <v>9</v>
      </c>
      <c r="U2171" s="3">
        <v>25</v>
      </c>
      <c r="V2171" s="3">
        <v>19</v>
      </c>
      <c r="W2171" s="3">
        <v>0</v>
      </c>
      <c r="X2171" s="3" t="s">
        <v>147</v>
      </c>
      <c r="Y2171" s="3">
        <v>0</v>
      </c>
      <c r="Z2171" s="3">
        <v>0</v>
      </c>
      <c r="AA2171" s="3">
        <v>0</v>
      </c>
      <c r="AB2171" s="3">
        <v>0</v>
      </c>
      <c r="AC2171" s="3">
        <v>6</v>
      </c>
      <c r="AD2171" s="3">
        <v>6</v>
      </c>
      <c r="AE2171" s="3">
        <v>14</v>
      </c>
      <c r="AF2171" s="3" t="s">
        <v>0</v>
      </c>
      <c r="AG2171" s="3" t="s">
        <v>49</v>
      </c>
    </row>
    <row r="2172" spans="1:33" ht="38.25" x14ac:dyDescent="0.2">
      <c r="A2172" s="4" t="str">
        <f>HYPERLINK("http://www.patentics.cn/invokexml.do?sf=ShowPatent&amp;spn=US8943165&amp;sv=ff458aa9517793cbc45ca63bdb8321c1","US8943165")</f>
        <v>US8943165</v>
      </c>
      <c r="B2172" s="2" t="s">
        <v>9748</v>
      </c>
      <c r="C2172" s="2" t="s">
        <v>9749</v>
      </c>
      <c r="D2172" s="2" t="s">
        <v>346</v>
      </c>
      <c r="E2172" s="2" t="s">
        <v>346</v>
      </c>
      <c r="F2172" s="2" t="s">
        <v>9750</v>
      </c>
      <c r="G2172" s="2" t="s">
        <v>9428</v>
      </c>
      <c r="H2172" s="2" t="s">
        <v>9751</v>
      </c>
      <c r="I2172" s="2" t="s">
        <v>9752</v>
      </c>
      <c r="J2172" s="2" t="s">
        <v>918</v>
      </c>
      <c r="K2172" s="2" t="s">
        <v>555</v>
      </c>
      <c r="L2172" s="2" t="s">
        <v>556</v>
      </c>
      <c r="M2172" s="2" t="s">
        <v>82</v>
      </c>
      <c r="N2172" s="2" t="s">
        <v>9753</v>
      </c>
      <c r="O2172" s="2">
        <v>0</v>
      </c>
      <c r="P2172" s="2">
        <v>36</v>
      </c>
      <c r="Q2172" s="2" t="s">
        <v>60</v>
      </c>
      <c r="R2172" s="2" t="s">
        <v>47</v>
      </c>
      <c r="S2172" s="2">
        <v>10</v>
      </c>
      <c r="T2172" s="2">
        <v>7</v>
      </c>
      <c r="U2172" s="2">
        <v>3</v>
      </c>
      <c r="V2172" s="2">
        <v>3</v>
      </c>
      <c r="W2172" s="2">
        <v>8</v>
      </c>
      <c r="X2172" s="2" t="s">
        <v>2367</v>
      </c>
      <c r="Y2172" s="2">
        <v>1</v>
      </c>
      <c r="Z2172" s="2">
        <v>7</v>
      </c>
      <c r="AA2172" s="2">
        <v>2</v>
      </c>
      <c r="AB2172" s="2">
        <v>2</v>
      </c>
      <c r="AC2172" s="2">
        <v>6</v>
      </c>
      <c r="AD2172" s="2">
        <v>4</v>
      </c>
      <c r="AE2172" s="2" t="s">
        <v>0</v>
      </c>
      <c r="AF2172" s="2">
        <v>1</v>
      </c>
      <c r="AG2172" s="2" t="s">
        <v>49</v>
      </c>
    </row>
    <row r="2173" spans="1:33" ht="140.25" x14ac:dyDescent="0.2">
      <c r="A2173" s="5" t="str">
        <f>HYPERLINK("http://www.patentics.cn/invokexml.do?sf=ShowPatent&amp;spn=US9439118&amp;sv=887ef2dc44f2abe62844bf9c361e5e59","US9439118")</f>
        <v>US9439118</v>
      </c>
      <c r="B2173" s="3" t="s">
        <v>9754</v>
      </c>
      <c r="C2173" s="3" t="s">
        <v>9755</v>
      </c>
      <c r="D2173" s="3" t="s">
        <v>52</v>
      </c>
      <c r="E2173" s="3" t="s">
        <v>52</v>
      </c>
      <c r="F2173" s="3" t="s">
        <v>9756</v>
      </c>
      <c r="G2173" s="3" t="s">
        <v>3206</v>
      </c>
      <c r="H2173" s="3" t="s">
        <v>0</v>
      </c>
      <c r="I2173" s="3" t="s">
        <v>9757</v>
      </c>
      <c r="J2173" s="3" t="s">
        <v>5707</v>
      </c>
      <c r="K2173" s="3" t="s">
        <v>82</v>
      </c>
      <c r="L2173" s="3" t="s">
        <v>1560</v>
      </c>
      <c r="M2173" s="3" t="s">
        <v>82</v>
      </c>
      <c r="N2173" s="3" t="s">
        <v>3509</v>
      </c>
      <c r="O2173" s="3">
        <v>0</v>
      </c>
      <c r="P2173" s="3">
        <v>41</v>
      </c>
      <c r="Q2173" s="3" t="s">
        <v>60</v>
      </c>
      <c r="R2173" s="3" t="s">
        <v>61</v>
      </c>
      <c r="S2173" s="3">
        <v>37</v>
      </c>
      <c r="T2173" s="3">
        <v>2</v>
      </c>
      <c r="U2173" s="3">
        <v>35</v>
      </c>
      <c r="V2173" s="3">
        <v>22</v>
      </c>
      <c r="W2173" s="3">
        <v>0</v>
      </c>
      <c r="X2173" s="3" t="s">
        <v>147</v>
      </c>
      <c r="Y2173" s="3">
        <v>0</v>
      </c>
      <c r="Z2173" s="3">
        <v>0</v>
      </c>
      <c r="AA2173" s="3">
        <v>0</v>
      </c>
      <c r="AB2173" s="3">
        <v>0</v>
      </c>
      <c r="AC2173" s="3">
        <v>0</v>
      </c>
      <c r="AD2173" s="3">
        <v>0</v>
      </c>
      <c r="AE2173" s="3">
        <v>14</v>
      </c>
      <c r="AF2173" s="3" t="s">
        <v>0</v>
      </c>
      <c r="AG2173" s="3" t="s">
        <v>49</v>
      </c>
    </row>
    <row r="2174" spans="1:33" ht="89.25" x14ac:dyDescent="0.2">
      <c r="A2174" s="4" t="str">
        <f>HYPERLINK("http://www.patentics.cn/invokexml.do?sf=ShowPatent&amp;spn=US8855042&amp;sv=0106012f064f8ba77f34d1b6657de909","US8855042")</f>
        <v>US8855042</v>
      </c>
      <c r="B2174" s="2" t="s">
        <v>9758</v>
      </c>
      <c r="C2174" s="2" t="s">
        <v>9759</v>
      </c>
      <c r="D2174" s="2" t="s">
        <v>346</v>
      </c>
      <c r="E2174" s="2" t="s">
        <v>346</v>
      </c>
      <c r="F2174" s="2" t="s">
        <v>9760</v>
      </c>
      <c r="G2174" s="2" t="s">
        <v>6415</v>
      </c>
      <c r="H2174" s="2" t="s">
        <v>1594</v>
      </c>
      <c r="I2174" s="2" t="s">
        <v>663</v>
      </c>
      <c r="J2174" s="2" t="s">
        <v>485</v>
      </c>
      <c r="K2174" s="2" t="s">
        <v>84</v>
      </c>
      <c r="L2174" s="2" t="s">
        <v>278</v>
      </c>
      <c r="M2174" s="2" t="s">
        <v>58</v>
      </c>
      <c r="N2174" s="2" t="s">
        <v>4763</v>
      </c>
      <c r="O2174" s="2">
        <v>0</v>
      </c>
      <c r="P2174" s="2">
        <v>23</v>
      </c>
      <c r="Q2174" s="2" t="s">
        <v>60</v>
      </c>
      <c r="R2174" s="2" t="s">
        <v>47</v>
      </c>
      <c r="S2174" s="2">
        <v>6</v>
      </c>
      <c r="T2174" s="2">
        <v>1</v>
      </c>
      <c r="U2174" s="2">
        <v>5</v>
      </c>
      <c r="V2174" s="2">
        <v>4</v>
      </c>
      <c r="W2174" s="2">
        <v>1</v>
      </c>
      <c r="X2174" s="2" t="s">
        <v>74</v>
      </c>
      <c r="Y2174" s="2">
        <v>0</v>
      </c>
      <c r="Z2174" s="2">
        <v>1</v>
      </c>
      <c r="AA2174" s="2">
        <v>1</v>
      </c>
      <c r="AB2174" s="2">
        <v>1</v>
      </c>
      <c r="AC2174" s="2">
        <v>5</v>
      </c>
      <c r="AD2174" s="2">
        <v>4</v>
      </c>
      <c r="AE2174" s="2" t="s">
        <v>0</v>
      </c>
      <c r="AF2174" s="2">
        <v>1</v>
      </c>
      <c r="AG2174" s="2" t="s">
        <v>49</v>
      </c>
    </row>
    <row r="2175" spans="1:33" ht="89.25" x14ac:dyDescent="0.2">
      <c r="A2175" s="5" t="str">
        <f>HYPERLINK("http://www.patentics.cn/invokexml.do?sf=ShowPatent&amp;spn=US9515808&amp;sv=31a81fd7d822b9bb47700911d6561df1","US9515808")</f>
        <v>US9515808</v>
      </c>
      <c r="B2175" s="3" t="s">
        <v>5102</v>
      </c>
      <c r="C2175" s="3" t="s">
        <v>5103</v>
      </c>
      <c r="D2175" s="3" t="s">
        <v>52</v>
      </c>
      <c r="E2175" s="3" t="s">
        <v>52</v>
      </c>
      <c r="F2175" s="3" t="s">
        <v>5104</v>
      </c>
      <c r="G2175" s="3" t="s">
        <v>5105</v>
      </c>
      <c r="H2175" s="3" t="s">
        <v>385</v>
      </c>
      <c r="I2175" s="3" t="s">
        <v>4576</v>
      </c>
      <c r="J2175" s="3" t="s">
        <v>3261</v>
      </c>
      <c r="K2175" s="3" t="s">
        <v>58</v>
      </c>
      <c r="L2175" s="3" t="s">
        <v>188</v>
      </c>
      <c r="M2175" s="3" t="s">
        <v>58</v>
      </c>
      <c r="N2175" s="3" t="s">
        <v>4944</v>
      </c>
      <c r="O2175" s="3">
        <v>0</v>
      </c>
      <c r="P2175" s="3">
        <v>16</v>
      </c>
      <c r="Q2175" s="3" t="s">
        <v>60</v>
      </c>
      <c r="R2175" s="3" t="s">
        <v>61</v>
      </c>
      <c r="S2175" s="3">
        <v>31</v>
      </c>
      <c r="T2175" s="3">
        <v>3</v>
      </c>
      <c r="U2175" s="3">
        <v>28</v>
      </c>
      <c r="V2175" s="3">
        <v>12</v>
      </c>
      <c r="W2175" s="3">
        <v>0</v>
      </c>
      <c r="X2175" s="3" t="s">
        <v>147</v>
      </c>
      <c r="Y2175" s="3">
        <v>0</v>
      </c>
      <c r="Z2175" s="3">
        <v>0</v>
      </c>
      <c r="AA2175" s="3">
        <v>0</v>
      </c>
      <c r="AB2175" s="3">
        <v>0</v>
      </c>
      <c r="AC2175" s="3">
        <v>22</v>
      </c>
      <c r="AD2175" s="3">
        <v>12</v>
      </c>
      <c r="AE2175" s="3">
        <v>14</v>
      </c>
      <c r="AF2175" s="3" t="s">
        <v>0</v>
      </c>
      <c r="AG2175" s="3" t="s">
        <v>49</v>
      </c>
    </row>
    <row r="2176" spans="1:33" ht="25.5" x14ac:dyDescent="0.2">
      <c r="A2176" s="4" t="str">
        <f>HYPERLINK("http://www.patentics.cn/invokexml.do?sf=ShowPatent&amp;spn=US8553621&amp;sv=e432366897791a507a430b9547d07c2c","US8553621")</f>
        <v>US8553621</v>
      </c>
      <c r="B2176" s="2" t="s">
        <v>9761</v>
      </c>
      <c r="C2176" s="2" t="s">
        <v>9762</v>
      </c>
      <c r="D2176" s="2" t="s">
        <v>346</v>
      </c>
      <c r="E2176" s="2" t="s">
        <v>346</v>
      </c>
      <c r="F2176" s="2" t="s">
        <v>9763</v>
      </c>
      <c r="G2176" s="2" t="s">
        <v>9763</v>
      </c>
      <c r="H2176" s="2" t="s">
        <v>4735</v>
      </c>
      <c r="I2176" s="2" t="s">
        <v>9764</v>
      </c>
      <c r="J2176" s="2" t="s">
        <v>1876</v>
      </c>
      <c r="K2176" s="2" t="s">
        <v>82</v>
      </c>
      <c r="L2176" s="2" t="s">
        <v>83</v>
      </c>
      <c r="M2176" s="2" t="s">
        <v>270</v>
      </c>
      <c r="N2176" s="2" t="s">
        <v>9765</v>
      </c>
      <c r="O2176" s="2">
        <v>0</v>
      </c>
      <c r="P2176" s="2">
        <v>65</v>
      </c>
      <c r="Q2176" s="2" t="s">
        <v>60</v>
      </c>
      <c r="R2176" s="2" t="s">
        <v>47</v>
      </c>
      <c r="S2176" s="2">
        <v>10</v>
      </c>
      <c r="T2176" s="2">
        <v>1</v>
      </c>
      <c r="U2176" s="2">
        <v>9</v>
      </c>
      <c r="V2176" s="2">
        <v>7</v>
      </c>
      <c r="W2176" s="2">
        <v>1</v>
      </c>
      <c r="X2176" s="2" t="s">
        <v>1061</v>
      </c>
      <c r="Y2176" s="2">
        <v>0</v>
      </c>
      <c r="Z2176" s="2">
        <v>1</v>
      </c>
      <c r="AA2176" s="2">
        <v>1</v>
      </c>
      <c r="AB2176" s="2">
        <v>1</v>
      </c>
      <c r="AC2176" s="2">
        <v>7</v>
      </c>
      <c r="AD2176" s="2">
        <v>4</v>
      </c>
      <c r="AE2176" s="2" t="s">
        <v>0</v>
      </c>
      <c r="AF2176" s="2">
        <v>1</v>
      </c>
      <c r="AG2176" s="2" t="s">
        <v>49</v>
      </c>
    </row>
    <row r="2177" spans="1:33" ht="140.25" x14ac:dyDescent="0.2">
      <c r="A2177" s="5" t="str">
        <f>HYPERLINK("http://www.patentics.cn/invokexml.do?sf=ShowPatent&amp;spn=US9584553&amp;sv=e3f2b985e9d0981c53e12b69c89ee42a","US9584553")</f>
        <v>US9584553</v>
      </c>
      <c r="B2177" s="3" t="s">
        <v>9766</v>
      </c>
      <c r="C2177" s="3" t="s">
        <v>9767</v>
      </c>
      <c r="D2177" s="3" t="s">
        <v>52</v>
      </c>
      <c r="E2177" s="3" t="s">
        <v>52</v>
      </c>
      <c r="F2177" s="3" t="s">
        <v>9768</v>
      </c>
      <c r="G2177" s="3" t="s">
        <v>6505</v>
      </c>
      <c r="H2177" s="3" t="s">
        <v>3402</v>
      </c>
      <c r="I2177" s="3" t="s">
        <v>9769</v>
      </c>
      <c r="J2177" s="3" t="s">
        <v>2718</v>
      </c>
      <c r="K2177" s="3" t="s">
        <v>58</v>
      </c>
      <c r="L2177" s="3" t="s">
        <v>722</v>
      </c>
      <c r="M2177" s="3" t="s">
        <v>58</v>
      </c>
      <c r="N2177" s="3" t="s">
        <v>9603</v>
      </c>
      <c r="O2177" s="3">
        <v>0</v>
      </c>
      <c r="P2177" s="3">
        <v>19</v>
      </c>
      <c r="Q2177" s="3" t="s">
        <v>60</v>
      </c>
      <c r="R2177" s="3" t="s">
        <v>61</v>
      </c>
      <c r="S2177" s="3">
        <v>11</v>
      </c>
      <c r="T2177" s="3">
        <v>3</v>
      </c>
      <c r="U2177" s="3">
        <v>8</v>
      </c>
      <c r="V2177" s="3">
        <v>7</v>
      </c>
      <c r="W2177" s="3">
        <v>0</v>
      </c>
      <c r="X2177" s="3" t="s">
        <v>147</v>
      </c>
      <c r="Y2177" s="3">
        <v>0</v>
      </c>
      <c r="Z2177" s="3">
        <v>0</v>
      </c>
      <c r="AA2177" s="3">
        <v>0</v>
      </c>
      <c r="AB2177" s="3">
        <v>0</v>
      </c>
      <c r="AC2177" s="3">
        <v>6</v>
      </c>
      <c r="AD2177" s="3">
        <v>5</v>
      </c>
      <c r="AE2177" s="3">
        <v>14</v>
      </c>
      <c r="AF2177" s="3" t="s">
        <v>0</v>
      </c>
      <c r="AG2177" s="3" t="s">
        <v>49</v>
      </c>
    </row>
    <row r="2178" spans="1:33" ht="76.5" x14ac:dyDescent="0.2">
      <c r="A2178" s="4" t="str">
        <f>HYPERLINK("http://www.patentics.cn/invokexml.do?sf=ShowPatent&amp;spn=US8514778&amp;sv=58158f7d855c4a6de08aa45482dff34e","US8514778")</f>
        <v>US8514778</v>
      </c>
      <c r="B2178" s="2" t="s">
        <v>9770</v>
      </c>
      <c r="C2178" s="2" t="s">
        <v>9771</v>
      </c>
      <c r="D2178" s="2" t="s">
        <v>346</v>
      </c>
      <c r="E2178" s="2" t="s">
        <v>346</v>
      </c>
      <c r="F2178" s="2" t="s">
        <v>9772</v>
      </c>
      <c r="G2178" s="2" t="s">
        <v>1006</v>
      </c>
      <c r="H2178" s="2" t="s">
        <v>0</v>
      </c>
      <c r="I2178" s="2" t="s">
        <v>4591</v>
      </c>
      <c r="J2178" s="2" t="s">
        <v>778</v>
      </c>
      <c r="K2178" s="2" t="s">
        <v>82</v>
      </c>
      <c r="L2178" s="2" t="s">
        <v>83</v>
      </c>
      <c r="M2178" s="2" t="s">
        <v>82</v>
      </c>
      <c r="N2178" s="2" t="s">
        <v>1649</v>
      </c>
      <c r="O2178" s="2">
        <v>0</v>
      </c>
      <c r="P2178" s="2">
        <v>17</v>
      </c>
      <c r="Q2178" s="2" t="s">
        <v>60</v>
      </c>
      <c r="R2178" s="2" t="s">
        <v>61</v>
      </c>
      <c r="S2178" s="2">
        <v>2</v>
      </c>
      <c r="T2178" s="2">
        <v>0</v>
      </c>
      <c r="U2178" s="2">
        <v>2</v>
      </c>
      <c r="V2178" s="2">
        <v>0</v>
      </c>
      <c r="W2178" s="2">
        <v>4</v>
      </c>
      <c r="X2178" s="2" t="s">
        <v>198</v>
      </c>
      <c r="Y2178" s="2">
        <v>0</v>
      </c>
      <c r="Z2178" s="2">
        <v>4</v>
      </c>
      <c r="AA2178" s="2">
        <v>3</v>
      </c>
      <c r="AB2178" s="2">
        <v>1</v>
      </c>
      <c r="AC2178" s="2">
        <v>0</v>
      </c>
      <c r="AD2178" s="2">
        <v>0</v>
      </c>
      <c r="AE2178" s="2" t="s">
        <v>0</v>
      </c>
      <c r="AF2178" s="2">
        <v>1</v>
      </c>
      <c r="AG2178" s="2" t="s">
        <v>49</v>
      </c>
    </row>
    <row r="2179" spans="1:33" ht="127.5" x14ac:dyDescent="0.2">
      <c r="A2179" s="5" t="str">
        <f>HYPERLINK("http://www.patentics.cn/invokexml.do?sf=ShowPatent&amp;spn=US8792889&amp;sv=e432569368c48a9b9d985272b7a7f466","US8792889")</f>
        <v>US8792889</v>
      </c>
      <c r="B2179" s="3" t="s">
        <v>9773</v>
      </c>
      <c r="C2179" s="3" t="s">
        <v>9774</v>
      </c>
      <c r="D2179" s="3" t="s">
        <v>52</v>
      </c>
      <c r="E2179" s="3" t="s">
        <v>52</v>
      </c>
      <c r="F2179" s="3" t="s">
        <v>9775</v>
      </c>
      <c r="G2179" s="3" t="s">
        <v>1253</v>
      </c>
      <c r="H2179" s="3" t="s">
        <v>9776</v>
      </c>
      <c r="I2179" s="3" t="s">
        <v>9776</v>
      </c>
      <c r="J2179" s="3" t="s">
        <v>1666</v>
      </c>
      <c r="K2179" s="3" t="s">
        <v>82</v>
      </c>
      <c r="L2179" s="3" t="s">
        <v>83</v>
      </c>
      <c r="M2179" s="3" t="s">
        <v>82</v>
      </c>
      <c r="N2179" s="3" t="s">
        <v>6580</v>
      </c>
      <c r="O2179" s="3">
        <v>0</v>
      </c>
      <c r="P2179" s="3">
        <v>19</v>
      </c>
      <c r="Q2179" s="3" t="s">
        <v>60</v>
      </c>
      <c r="R2179" s="3" t="s">
        <v>61</v>
      </c>
      <c r="S2179" s="3">
        <v>36</v>
      </c>
      <c r="T2179" s="3">
        <v>4</v>
      </c>
      <c r="U2179" s="3">
        <v>32</v>
      </c>
      <c r="V2179" s="3">
        <v>19</v>
      </c>
      <c r="W2179" s="3">
        <v>0</v>
      </c>
      <c r="X2179" s="3" t="s">
        <v>147</v>
      </c>
      <c r="Y2179" s="3">
        <v>0</v>
      </c>
      <c r="Z2179" s="3">
        <v>0</v>
      </c>
      <c r="AA2179" s="3">
        <v>0</v>
      </c>
      <c r="AB2179" s="3">
        <v>0</v>
      </c>
      <c r="AC2179" s="3">
        <v>20</v>
      </c>
      <c r="AD2179" s="3">
        <v>12</v>
      </c>
      <c r="AE2179" s="3">
        <v>14</v>
      </c>
      <c r="AF2179" s="3" t="s">
        <v>0</v>
      </c>
      <c r="AG2179" s="3" t="s">
        <v>49</v>
      </c>
    </row>
    <row r="2180" spans="1:33" ht="63.75" x14ac:dyDescent="0.2">
      <c r="A2180" s="4" t="str">
        <f>HYPERLINK("http://www.patentics.cn/invokexml.do?sf=ShowPatent&amp;spn=US8477657&amp;sv=f1906f267a107cdcdef09484b733aa71","US8477657")</f>
        <v>US8477657</v>
      </c>
      <c r="B2180" s="2" t="s">
        <v>9777</v>
      </c>
      <c r="C2180" s="2" t="s">
        <v>9778</v>
      </c>
      <c r="D2180" s="2" t="s">
        <v>346</v>
      </c>
      <c r="E2180" s="2" t="s">
        <v>346</v>
      </c>
      <c r="F2180" s="2" t="s">
        <v>9779</v>
      </c>
      <c r="G2180" s="2" t="s">
        <v>9780</v>
      </c>
      <c r="H2180" s="2" t="s">
        <v>106</v>
      </c>
      <c r="I2180" s="2" t="s">
        <v>9781</v>
      </c>
      <c r="J2180" s="2" t="s">
        <v>102</v>
      </c>
      <c r="K2180" s="2" t="s">
        <v>58</v>
      </c>
      <c r="L2180" s="2" t="s">
        <v>289</v>
      </c>
      <c r="M2180" s="2" t="s">
        <v>82</v>
      </c>
      <c r="N2180" s="2" t="s">
        <v>2003</v>
      </c>
      <c r="O2180" s="2">
        <v>0</v>
      </c>
      <c r="P2180" s="2">
        <v>16</v>
      </c>
      <c r="Q2180" s="2" t="s">
        <v>60</v>
      </c>
      <c r="R2180" s="2" t="s">
        <v>47</v>
      </c>
      <c r="S2180" s="2">
        <v>6</v>
      </c>
      <c r="T2180" s="2">
        <v>0</v>
      </c>
      <c r="U2180" s="2">
        <v>6</v>
      </c>
      <c r="V2180" s="2">
        <v>5</v>
      </c>
      <c r="W2180" s="2">
        <v>1</v>
      </c>
      <c r="X2180" s="2" t="s">
        <v>670</v>
      </c>
      <c r="Y2180" s="2">
        <v>0</v>
      </c>
      <c r="Z2180" s="2">
        <v>1</v>
      </c>
      <c r="AA2180" s="2">
        <v>1</v>
      </c>
      <c r="AB2180" s="2">
        <v>1</v>
      </c>
      <c r="AC2180" s="2">
        <v>10</v>
      </c>
      <c r="AD2180" s="2">
        <v>7</v>
      </c>
      <c r="AE2180" s="2" t="s">
        <v>0</v>
      </c>
      <c r="AF2180" s="2">
        <v>1</v>
      </c>
      <c r="AG2180" s="2" t="s">
        <v>49</v>
      </c>
    </row>
    <row r="2181" spans="1:33" ht="204" x14ac:dyDescent="0.2">
      <c r="A2181" s="5" t="str">
        <f>HYPERLINK("http://www.patentics.cn/invokexml.do?sf=ShowPatent&amp;spn=US9137695&amp;sv=54c90abd92f471ea047ce26bed1d5a7e","US9137695")</f>
        <v>US9137695</v>
      </c>
      <c r="B2181" s="3" t="s">
        <v>9782</v>
      </c>
      <c r="C2181" s="3" t="s">
        <v>9783</v>
      </c>
      <c r="D2181" s="3" t="s">
        <v>52</v>
      </c>
      <c r="E2181" s="3" t="s">
        <v>52</v>
      </c>
      <c r="F2181" s="3" t="s">
        <v>9784</v>
      </c>
      <c r="G2181" s="3" t="s">
        <v>9785</v>
      </c>
      <c r="H2181" s="3" t="s">
        <v>8929</v>
      </c>
      <c r="I2181" s="3" t="s">
        <v>892</v>
      </c>
      <c r="J2181" s="3" t="s">
        <v>225</v>
      </c>
      <c r="K2181" s="3" t="s">
        <v>82</v>
      </c>
      <c r="L2181" s="3" t="s">
        <v>835</v>
      </c>
      <c r="M2181" s="3" t="s">
        <v>82</v>
      </c>
      <c r="N2181" s="3" t="s">
        <v>772</v>
      </c>
      <c r="O2181" s="3">
        <v>0</v>
      </c>
      <c r="P2181" s="3">
        <v>15</v>
      </c>
      <c r="Q2181" s="3" t="s">
        <v>60</v>
      </c>
      <c r="R2181" s="3" t="s">
        <v>61</v>
      </c>
      <c r="S2181" s="3">
        <v>7</v>
      </c>
      <c r="T2181" s="3">
        <v>2</v>
      </c>
      <c r="U2181" s="3">
        <v>5</v>
      </c>
      <c r="V2181" s="3">
        <v>6</v>
      </c>
      <c r="W2181" s="3">
        <v>6</v>
      </c>
      <c r="X2181" s="3" t="s">
        <v>147</v>
      </c>
      <c r="Y2181" s="3">
        <v>0</v>
      </c>
      <c r="Z2181" s="3">
        <v>6</v>
      </c>
      <c r="AA2181" s="3">
        <v>0</v>
      </c>
      <c r="AB2181" s="3">
        <v>1</v>
      </c>
      <c r="AC2181" s="3">
        <v>1</v>
      </c>
      <c r="AD2181" s="3">
        <v>1</v>
      </c>
      <c r="AE2181" s="3">
        <v>14</v>
      </c>
      <c r="AF2181" s="3" t="s">
        <v>0</v>
      </c>
      <c r="AG2181" s="3" t="s">
        <v>49</v>
      </c>
    </row>
    <row r="2182" spans="1:33" ht="38.25" x14ac:dyDescent="0.2">
      <c r="A2182" s="4" t="str">
        <f>HYPERLINK("http://www.patentics.cn/invokexml.do?sf=ShowPatent&amp;spn=US8446851&amp;sv=dd2cf243cffa2e3ea6f4d295a069709a","US8446851")</f>
        <v>US8446851</v>
      </c>
      <c r="B2182" s="2" t="s">
        <v>9786</v>
      </c>
      <c r="C2182" s="2" t="s">
        <v>9787</v>
      </c>
      <c r="D2182" s="2" t="s">
        <v>346</v>
      </c>
      <c r="E2182" s="2" t="s">
        <v>346</v>
      </c>
      <c r="F2182" s="2" t="s">
        <v>9273</v>
      </c>
      <c r="G2182" s="2" t="s">
        <v>9273</v>
      </c>
      <c r="H2182" s="2" t="s">
        <v>5896</v>
      </c>
      <c r="I2182" s="2" t="s">
        <v>2631</v>
      </c>
      <c r="J2182" s="2" t="s">
        <v>81</v>
      </c>
      <c r="K2182" s="2" t="s">
        <v>1246</v>
      </c>
      <c r="L2182" s="2" t="s">
        <v>1247</v>
      </c>
      <c r="M2182" s="2" t="s">
        <v>84</v>
      </c>
      <c r="N2182" s="2" t="s">
        <v>3270</v>
      </c>
      <c r="O2182" s="2">
        <v>0</v>
      </c>
      <c r="P2182" s="2">
        <v>30</v>
      </c>
      <c r="Q2182" s="2" t="s">
        <v>60</v>
      </c>
      <c r="R2182" s="2" t="s">
        <v>47</v>
      </c>
      <c r="S2182" s="2">
        <v>11</v>
      </c>
      <c r="T2182" s="2">
        <v>1</v>
      </c>
      <c r="U2182" s="2">
        <v>10</v>
      </c>
      <c r="V2182" s="2">
        <v>9</v>
      </c>
      <c r="W2182" s="2">
        <v>1</v>
      </c>
      <c r="X2182" s="2" t="s">
        <v>108</v>
      </c>
      <c r="Y2182" s="2">
        <v>0</v>
      </c>
      <c r="Z2182" s="2">
        <v>1</v>
      </c>
      <c r="AA2182" s="2">
        <v>1</v>
      </c>
      <c r="AB2182" s="2">
        <v>1</v>
      </c>
      <c r="AC2182" s="2">
        <v>5</v>
      </c>
      <c r="AD2182" s="2">
        <v>4</v>
      </c>
      <c r="AE2182" s="2" t="s">
        <v>0</v>
      </c>
      <c r="AF2182" s="2">
        <v>1</v>
      </c>
      <c r="AG2182" s="2" t="s">
        <v>49</v>
      </c>
    </row>
    <row r="2183" spans="1:33" ht="89.25" x14ac:dyDescent="0.2">
      <c r="A2183" s="5" t="str">
        <f>HYPERLINK("http://www.patentics.cn/invokexml.do?sf=ShowPatent&amp;spn=US9432991&amp;sv=0ec082e79652dbdc20567d86a510b4ba","US9432991")</f>
        <v>US9432991</v>
      </c>
      <c r="B2183" s="3" t="s">
        <v>1938</v>
      </c>
      <c r="C2183" s="3" t="s">
        <v>1939</v>
      </c>
      <c r="D2183" s="3" t="s">
        <v>52</v>
      </c>
      <c r="E2183" s="3" t="s">
        <v>52</v>
      </c>
      <c r="F2183" s="3" t="s">
        <v>1940</v>
      </c>
      <c r="G2183" s="3" t="s">
        <v>181</v>
      </c>
      <c r="H2183" s="3" t="s">
        <v>1941</v>
      </c>
      <c r="I2183" s="3" t="s">
        <v>1942</v>
      </c>
      <c r="J2183" s="3" t="s">
        <v>718</v>
      </c>
      <c r="K2183" s="3" t="s">
        <v>82</v>
      </c>
      <c r="L2183" s="3" t="s">
        <v>226</v>
      </c>
      <c r="M2183" s="3" t="s">
        <v>82</v>
      </c>
      <c r="N2183" s="3" t="s">
        <v>1943</v>
      </c>
      <c r="O2183" s="3">
        <v>0</v>
      </c>
      <c r="P2183" s="3">
        <v>29</v>
      </c>
      <c r="Q2183" s="3" t="s">
        <v>60</v>
      </c>
      <c r="R2183" s="3" t="s">
        <v>61</v>
      </c>
      <c r="S2183" s="3">
        <v>47</v>
      </c>
      <c r="T2183" s="3">
        <v>0</v>
      </c>
      <c r="U2183" s="3">
        <v>47</v>
      </c>
      <c r="V2183" s="3">
        <v>21</v>
      </c>
      <c r="W2183" s="3">
        <v>0</v>
      </c>
      <c r="X2183" s="3" t="s">
        <v>147</v>
      </c>
      <c r="Y2183" s="3">
        <v>0</v>
      </c>
      <c r="Z2183" s="3">
        <v>0</v>
      </c>
      <c r="AA2183" s="3">
        <v>0</v>
      </c>
      <c r="AB2183" s="3">
        <v>0</v>
      </c>
      <c r="AC2183" s="3">
        <v>20</v>
      </c>
      <c r="AD2183" s="3">
        <v>7</v>
      </c>
      <c r="AE2183" s="3">
        <v>14</v>
      </c>
      <c r="AF2183" s="3" t="s">
        <v>0</v>
      </c>
      <c r="AG2183" s="3" t="s">
        <v>49</v>
      </c>
    </row>
    <row r="2184" spans="1:33" ht="25.5" x14ac:dyDescent="0.2">
      <c r="A2184" s="4" t="str">
        <f>HYPERLINK("http://www.patentics.cn/invokexml.do?sf=ShowPatent&amp;spn=US8369301&amp;sv=d7d2b636dba5b2ffcbd215def50319e6","US8369301")</f>
        <v>US8369301</v>
      </c>
      <c r="B2184" s="2" t="s">
        <v>9788</v>
      </c>
      <c r="C2184" s="2" t="s">
        <v>9789</v>
      </c>
      <c r="D2184" s="2" t="s">
        <v>346</v>
      </c>
      <c r="E2184" s="2" t="s">
        <v>346</v>
      </c>
      <c r="F2184" s="2" t="s">
        <v>1314</v>
      </c>
      <c r="G2184" s="2" t="s">
        <v>1314</v>
      </c>
      <c r="H2184" s="2" t="s">
        <v>4681</v>
      </c>
      <c r="I2184" s="2" t="s">
        <v>4682</v>
      </c>
      <c r="J2184" s="2" t="s">
        <v>9790</v>
      </c>
      <c r="K2184" s="2" t="s">
        <v>84</v>
      </c>
      <c r="L2184" s="2" t="s">
        <v>127</v>
      </c>
      <c r="M2184" s="2" t="s">
        <v>58</v>
      </c>
      <c r="N2184" s="2" t="s">
        <v>2466</v>
      </c>
      <c r="O2184" s="2">
        <v>0</v>
      </c>
      <c r="P2184" s="2">
        <v>16</v>
      </c>
      <c r="Q2184" s="2" t="s">
        <v>60</v>
      </c>
      <c r="R2184" s="2" t="s">
        <v>61</v>
      </c>
      <c r="S2184" s="2">
        <v>12</v>
      </c>
      <c r="T2184" s="2">
        <v>0</v>
      </c>
      <c r="U2184" s="2">
        <v>12</v>
      </c>
      <c r="V2184" s="2">
        <v>8</v>
      </c>
      <c r="W2184" s="2">
        <v>8</v>
      </c>
      <c r="X2184" s="2" t="s">
        <v>9791</v>
      </c>
      <c r="Y2184" s="2">
        <v>4</v>
      </c>
      <c r="Z2184" s="2">
        <v>4</v>
      </c>
      <c r="AA2184" s="2">
        <v>4</v>
      </c>
      <c r="AB2184" s="2">
        <v>2</v>
      </c>
      <c r="AC2184" s="2">
        <v>15</v>
      </c>
      <c r="AD2184" s="2">
        <v>10</v>
      </c>
      <c r="AE2184" s="2" t="s">
        <v>0</v>
      </c>
      <c r="AF2184" s="2">
        <v>1</v>
      </c>
      <c r="AG2184" s="2" t="s">
        <v>49</v>
      </c>
    </row>
    <row r="2185" spans="1:33" ht="51" x14ac:dyDescent="0.2">
      <c r="A2185" s="5" t="str">
        <f>HYPERLINK("http://www.patentics.cn/invokexml.do?sf=ShowPatent&amp;spn=US9510311&amp;sv=45e6593252177aca3872c25d468ca994","US9510311")</f>
        <v>US9510311</v>
      </c>
      <c r="B2185" s="3" t="s">
        <v>9792</v>
      </c>
      <c r="C2185" s="3" t="s">
        <v>9793</v>
      </c>
      <c r="D2185" s="3" t="s">
        <v>52</v>
      </c>
      <c r="E2185" s="3" t="s">
        <v>52</v>
      </c>
      <c r="F2185" s="3" t="s">
        <v>9794</v>
      </c>
      <c r="G2185" s="3" t="s">
        <v>790</v>
      </c>
      <c r="H2185" s="3" t="s">
        <v>3344</v>
      </c>
      <c r="I2185" s="3" t="s">
        <v>3344</v>
      </c>
      <c r="J2185" s="3" t="s">
        <v>5692</v>
      </c>
      <c r="K2185" s="3" t="s">
        <v>70</v>
      </c>
      <c r="L2185" s="3" t="s">
        <v>71</v>
      </c>
      <c r="M2185" s="3" t="s">
        <v>82</v>
      </c>
      <c r="N2185" s="3" t="s">
        <v>9795</v>
      </c>
      <c r="O2185" s="3">
        <v>0</v>
      </c>
      <c r="P2185" s="3">
        <v>22</v>
      </c>
      <c r="Q2185" s="3" t="s">
        <v>60</v>
      </c>
      <c r="R2185" s="3" t="s">
        <v>61</v>
      </c>
      <c r="S2185" s="3">
        <v>12</v>
      </c>
      <c r="T2185" s="3">
        <v>2</v>
      </c>
      <c r="U2185" s="3">
        <v>10</v>
      </c>
      <c r="V2185" s="3">
        <v>8</v>
      </c>
      <c r="W2185" s="3">
        <v>0</v>
      </c>
      <c r="X2185" s="3" t="s">
        <v>147</v>
      </c>
      <c r="Y2185" s="3">
        <v>0</v>
      </c>
      <c r="Z2185" s="3">
        <v>0</v>
      </c>
      <c r="AA2185" s="3">
        <v>0</v>
      </c>
      <c r="AB2185" s="3">
        <v>0</v>
      </c>
      <c r="AC2185" s="3">
        <v>3</v>
      </c>
      <c r="AD2185" s="3">
        <v>2</v>
      </c>
      <c r="AE2185" s="3">
        <v>14</v>
      </c>
      <c r="AF2185" s="3" t="s">
        <v>0</v>
      </c>
      <c r="AG2185" s="3" t="s">
        <v>49</v>
      </c>
    </row>
    <row r="2186" spans="1:33" ht="63.75" x14ac:dyDescent="0.2">
      <c r="A2186" s="4" t="str">
        <f>HYPERLINK("http://www.patentics.cn/invokexml.do?sf=ShowPatent&amp;spn=US8325731&amp;sv=fd9e0bc7f57b2bb29324fb58702e9c43","US8325731")</f>
        <v>US8325731</v>
      </c>
      <c r="B2186" s="2" t="s">
        <v>9796</v>
      </c>
      <c r="C2186" s="2" t="s">
        <v>9797</v>
      </c>
      <c r="D2186" s="2" t="s">
        <v>346</v>
      </c>
      <c r="E2186" s="2" t="s">
        <v>346</v>
      </c>
      <c r="F2186" s="2" t="s">
        <v>9798</v>
      </c>
      <c r="G2186" s="2" t="s">
        <v>9799</v>
      </c>
      <c r="H2186" s="2" t="s">
        <v>4295</v>
      </c>
      <c r="I2186" s="2" t="s">
        <v>4295</v>
      </c>
      <c r="J2186" s="2" t="s">
        <v>3717</v>
      </c>
      <c r="K2186" s="2" t="s">
        <v>58</v>
      </c>
      <c r="L2186" s="2" t="s">
        <v>1236</v>
      </c>
      <c r="M2186" s="2" t="s">
        <v>82</v>
      </c>
      <c r="N2186" s="2" t="s">
        <v>1420</v>
      </c>
      <c r="O2186" s="2">
        <v>0</v>
      </c>
      <c r="P2186" s="2">
        <v>27</v>
      </c>
      <c r="Q2186" s="2" t="s">
        <v>60</v>
      </c>
      <c r="R2186" s="2" t="s">
        <v>47</v>
      </c>
      <c r="S2186" s="2">
        <v>4</v>
      </c>
      <c r="T2186" s="2">
        <v>0</v>
      </c>
      <c r="U2186" s="2">
        <v>4</v>
      </c>
      <c r="V2186" s="2">
        <v>4</v>
      </c>
      <c r="W2186" s="2">
        <v>2</v>
      </c>
      <c r="X2186" s="2" t="s">
        <v>580</v>
      </c>
      <c r="Y2186" s="2">
        <v>0</v>
      </c>
      <c r="Z2186" s="2">
        <v>2</v>
      </c>
      <c r="AA2186" s="2">
        <v>2</v>
      </c>
      <c r="AB2186" s="2">
        <v>1</v>
      </c>
      <c r="AC2186" s="2">
        <v>6</v>
      </c>
      <c r="AD2186" s="2">
        <v>4</v>
      </c>
      <c r="AE2186" s="2" t="s">
        <v>0</v>
      </c>
      <c r="AF2186" s="2">
        <v>1</v>
      </c>
      <c r="AG2186" s="2" t="s">
        <v>49</v>
      </c>
    </row>
    <row r="2187" spans="1:33" ht="140.25" x14ac:dyDescent="0.2">
      <c r="A2187" s="5" t="str">
        <f>HYPERLINK("http://www.patentics.cn/invokexml.do?sf=ShowPatent&amp;spn=US9226119&amp;sv=f9fd9bddc29e587109dd9b929b2194fa","US9226119")</f>
        <v>US9226119</v>
      </c>
      <c r="B2187" s="3" t="s">
        <v>9800</v>
      </c>
      <c r="C2187" s="3" t="s">
        <v>9801</v>
      </c>
      <c r="D2187" s="3" t="s">
        <v>52</v>
      </c>
      <c r="E2187" s="3" t="s">
        <v>52</v>
      </c>
      <c r="F2187" s="3" t="s">
        <v>9802</v>
      </c>
      <c r="G2187" s="3" t="s">
        <v>1675</v>
      </c>
      <c r="H2187" s="3" t="s">
        <v>9803</v>
      </c>
      <c r="I2187" s="3" t="s">
        <v>9803</v>
      </c>
      <c r="J2187" s="3" t="s">
        <v>294</v>
      </c>
      <c r="K2187" s="3" t="s">
        <v>82</v>
      </c>
      <c r="L2187" s="3" t="s">
        <v>83</v>
      </c>
      <c r="M2187" s="3" t="s">
        <v>82</v>
      </c>
      <c r="N2187" s="3" t="s">
        <v>3642</v>
      </c>
      <c r="O2187" s="3">
        <v>0</v>
      </c>
      <c r="P2187" s="3">
        <v>12</v>
      </c>
      <c r="Q2187" s="3" t="s">
        <v>60</v>
      </c>
      <c r="R2187" s="3" t="s">
        <v>61</v>
      </c>
      <c r="S2187" s="3">
        <v>15</v>
      </c>
      <c r="T2187" s="3">
        <v>1</v>
      </c>
      <c r="U2187" s="3">
        <v>14</v>
      </c>
      <c r="V2187" s="3">
        <v>10</v>
      </c>
      <c r="W2187" s="3">
        <v>0</v>
      </c>
      <c r="X2187" s="3" t="s">
        <v>147</v>
      </c>
      <c r="Y2187" s="3">
        <v>0</v>
      </c>
      <c r="Z2187" s="3">
        <v>0</v>
      </c>
      <c r="AA2187" s="3">
        <v>0</v>
      </c>
      <c r="AB2187" s="3">
        <v>0</v>
      </c>
      <c r="AC2187" s="3">
        <v>4</v>
      </c>
      <c r="AD2187" s="3">
        <v>4</v>
      </c>
      <c r="AE2187" s="3">
        <v>14</v>
      </c>
      <c r="AF2187" s="3" t="s">
        <v>0</v>
      </c>
      <c r="AG2187" s="3" t="s">
        <v>49</v>
      </c>
    </row>
    <row r="2188" spans="1:33" ht="38.25" x14ac:dyDescent="0.2">
      <c r="A2188" s="4" t="str">
        <f>HYPERLINK("http://www.patentics.cn/invokexml.do?sf=ShowPatent&amp;spn=US8300574&amp;sv=1fea1792d9f9088b774f5f0b25f76112","US8300574")</f>
        <v>US8300574</v>
      </c>
      <c r="B2188" s="2" t="s">
        <v>9804</v>
      </c>
      <c r="C2188" s="2" t="s">
        <v>9805</v>
      </c>
      <c r="D2188" s="2" t="s">
        <v>346</v>
      </c>
      <c r="E2188" s="2" t="s">
        <v>346</v>
      </c>
      <c r="F2188" s="2" t="s">
        <v>9806</v>
      </c>
      <c r="G2188" s="2" t="s">
        <v>9806</v>
      </c>
      <c r="H2188" s="2" t="s">
        <v>9807</v>
      </c>
      <c r="I2188" s="2" t="s">
        <v>9807</v>
      </c>
      <c r="J2188" s="2" t="s">
        <v>9808</v>
      </c>
      <c r="K2188" s="2" t="s">
        <v>84</v>
      </c>
      <c r="L2188" s="2" t="s">
        <v>234</v>
      </c>
      <c r="M2188" s="2" t="s">
        <v>70</v>
      </c>
      <c r="N2188" s="2" t="s">
        <v>9809</v>
      </c>
      <c r="O2188" s="2">
        <v>0</v>
      </c>
      <c r="P2188" s="2">
        <v>26</v>
      </c>
      <c r="Q2188" s="2" t="s">
        <v>60</v>
      </c>
      <c r="R2188" s="2" t="s">
        <v>47</v>
      </c>
      <c r="S2188" s="2">
        <v>11</v>
      </c>
      <c r="T2188" s="2">
        <v>0</v>
      </c>
      <c r="U2188" s="2">
        <v>11</v>
      </c>
      <c r="V2188" s="2">
        <v>6</v>
      </c>
      <c r="W2188" s="2">
        <v>1</v>
      </c>
      <c r="X2188" s="2" t="s">
        <v>108</v>
      </c>
      <c r="Y2188" s="2">
        <v>0</v>
      </c>
      <c r="Z2188" s="2">
        <v>1</v>
      </c>
      <c r="AA2188" s="2">
        <v>1</v>
      </c>
      <c r="AB2188" s="2">
        <v>1</v>
      </c>
      <c r="AC2188" s="2">
        <v>8</v>
      </c>
      <c r="AD2188" s="2">
        <v>5</v>
      </c>
      <c r="AE2188" s="2" t="s">
        <v>0</v>
      </c>
      <c r="AF2188" s="2">
        <v>1</v>
      </c>
      <c r="AG2188" s="2" t="s">
        <v>49</v>
      </c>
    </row>
    <row r="2189" spans="1:33" ht="25.5" x14ac:dyDescent="0.2">
      <c r="A2189" s="5" t="str">
        <f>HYPERLINK("http://www.patentics.cn/invokexml.do?sf=ShowPatent&amp;spn=US8780790&amp;sv=ea0bffff5beb72b201464edafb016384","US8780790")</f>
        <v>US8780790</v>
      </c>
      <c r="B2189" s="3" t="s">
        <v>9810</v>
      </c>
      <c r="C2189" s="3" t="s">
        <v>9811</v>
      </c>
      <c r="D2189" s="3" t="s">
        <v>52</v>
      </c>
      <c r="E2189" s="3" t="s">
        <v>52</v>
      </c>
      <c r="F2189" s="3" t="s">
        <v>9812</v>
      </c>
      <c r="G2189" s="3" t="s">
        <v>9812</v>
      </c>
      <c r="H2189" s="3" t="s">
        <v>9813</v>
      </c>
      <c r="I2189" s="3" t="s">
        <v>2202</v>
      </c>
      <c r="J2189" s="3" t="s">
        <v>2618</v>
      </c>
      <c r="K2189" s="3" t="s">
        <v>82</v>
      </c>
      <c r="L2189" s="3" t="s">
        <v>2222</v>
      </c>
      <c r="M2189" s="3" t="s">
        <v>58</v>
      </c>
      <c r="N2189" s="3" t="s">
        <v>2720</v>
      </c>
      <c r="O2189" s="3">
        <v>0</v>
      </c>
      <c r="P2189" s="3">
        <v>15</v>
      </c>
      <c r="Q2189" s="3" t="s">
        <v>60</v>
      </c>
      <c r="R2189" s="3" t="s">
        <v>61</v>
      </c>
      <c r="S2189" s="3">
        <v>41</v>
      </c>
      <c r="T2189" s="3">
        <v>4</v>
      </c>
      <c r="U2189" s="3">
        <v>37</v>
      </c>
      <c r="V2189" s="3">
        <v>19</v>
      </c>
      <c r="W2189" s="3">
        <v>2</v>
      </c>
      <c r="X2189" s="3" t="s">
        <v>378</v>
      </c>
      <c r="Y2189" s="3">
        <v>0</v>
      </c>
      <c r="Z2189" s="3">
        <v>2</v>
      </c>
      <c r="AA2189" s="3">
        <v>2</v>
      </c>
      <c r="AB2189" s="3">
        <v>1</v>
      </c>
      <c r="AC2189" s="3">
        <v>16</v>
      </c>
      <c r="AD2189" s="3">
        <v>13</v>
      </c>
      <c r="AE2189" s="3">
        <v>14</v>
      </c>
      <c r="AF2189" s="3" t="s">
        <v>0</v>
      </c>
      <c r="AG2189" s="3" t="s">
        <v>49</v>
      </c>
    </row>
    <row r="2190" spans="1:33" ht="63.75" x14ac:dyDescent="0.2">
      <c r="A2190" s="4" t="str">
        <f>HYPERLINK("http://www.patentics.cn/invokexml.do?sf=ShowPatent&amp;spn=US8279791&amp;sv=25473db23c052ebf646eb9b143735acf","US8279791")</f>
        <v>US8279791</v>
      </c>
      <c r="B2190" s="2" t="s">
        <v>9814</v>
      </c>
      <c r="C2190" s="2" t="s">
        <v>9815</v>
      </c>
      <c r="D2190" s="2" t="s">
        <v>346</v>
      </c>
      <c r="E2190" s="2" t="s">
        <v>346</v>
      </c>
      <c r="F2190" s="2" t="s">
        <v>9816</v>
      </c>
      <c r="G2190" s="2" t="s">
        <v>6537</v>
      </c>
      <c r="H2190" s="2" t="s">
        <v>2887</v>
      </c>
      <c r="I2190" s="2" t="s">
        <v>5703</v>
      </c>
      <c r="J2190" s="2" t="s">
        <v>3213</v>
      </c>
      <c r="K2190" s="2" t="s">
        <v>1246</v>
      </c>
      <c r="L2190" s="2" t="s">
        <v>9817</v>
      </c>
      <c r="M2190" s="2" t="s">
        <v>82</v>
      </c>
      <c r="N2190" s="2" t="s">
        <v>1420</v>
      </c>
      <c r="O2190" s="2">
        <v>0</v>
      </c>
      <c r="P2190" s="2">
        <v>17</v>
      </c>
      <c r="Q2190" s="2" t="s">
        <v>60</v>
      </c>
      <c r="R2190" s="2" t="s">
        <v>47</v>
      </c>
      <c r="S2190" s="2">
        <v>21</v>
      </c>
      <c r="T2190" s="2">
        <v>1</v>
      </c>
      <c r="U2190" s="2">
        <v>20</v>
      </c>
      <c r="V2190" s="2">
        <v>8</v>
      </c>
      <c r="W2190" s="2">
        <v>4</v>
      </c>
      <c r="X2190" s="2" t="s">
        <v>1756</v>
      </c>
      <c r="Y2190" s="2">
        <v>0</v>
      </c>
      <c r="Z2190" s="2">
        <v>4</v>
      </c>
      <c r="AA2190" s="2">
        <v>3</v>
      </c>
      <c r="AB2190" s="2">
        <v>1</v>
      </c>
      <c r="AC2190" s="2">
        <v>8</v>
      </c>
      <c r="AD2190" s="2">
        <v>5</v>
      </c>
      <c r="AE2190" s="2" t="s">
        <v>0</v>
      </c>
      <c r="AF2190" s="2">
        <v>1</v>
      </c>
      <c r="AG2190" s="2" t="s">
        <v>49</v>
      </c>
    </row>
    <row r="2191" spans="1:33" ht="89.25" x14ac:dyDescent="0.2">
      <c r="A2191" s="5" t="str">
        <f>HYPERLINK("http://www.patentics.cn/invokexml.do?sf=ShowPatent&amp;spn=US8995291&amp;sv=4c6935fabfa551e78024eb9475c5b190","US8995291")</f>
        <v>US8995291</v>
      </c>
      <c r="B2191" s="3" t="s">
        <v>9818</v>
      </c>
      <c r="C2191" s="3" t="s">
        <v>9819</v>
      </c>
      <c r="D2191" s="3" t="s">
        <v>52</v>
      </c>
      <c r="E2191" s="3" t="s">
        <v>52</v>
      </c>
      <c r="F2191" s="3" t="s">
        <v>9820</v>
      </c>
      <c r="G2191" s="3" t="s">
        <v>2752</v>
      </c>
      <c r="H2191" s="3" t="s">
        <v>9821</v>
      </c>
      <c r="I2191" s="3" t="s">
        <v>3706</v>
      </c>
      <c r="J2191" s="3" t="s">
        <v>3023</v>
      </c>
      <c r="K2191" s="3" t="s">
        <v>1020</v>
      </c>
      <c r="L2191" s="3" t="s">
        <v>1021</v>
      </c>
      <c r="M2191" s="3" t="s">
        <v>58</v>
      </c>
      <c r="N2191" s="3" t="s">
        <v>1521</v>
      </c>
      <c r="O2191" s="3">
        <v>0</v>
      </c>
      <c r="P2191" s="3">
        <v>16</v>
      </c>
      <c r="Q2191" s="3" t="s">
        <v>60</v>
      </c>
      <c r="R2191" s="3" t="s">
        <v>61</v>
      </c>
      <c r="S2191" s="3">
        <v>18</v>
      </c>
      <c r="T2191" s="3">
        <v>9</v>
      </c>
      <c r="U2191" s="3">
        <v>9</v>
      </c>
      <c r="V2191" s="3">
        <v>7</v>
      </c>
      <c r="W2191" s="3">
        <v>0</v>
      </c>
      <c r="X2191" s="3" t="s">
        <v>147</v>
      </c>
      <c r="Y2191" s="3">
        <v>0</v>
      </c>
      <c r="Z2191" s="3">
        <v>0</v>
      </c>
      <c r="AA2191" s="3">
        <v>0</v>
      </c>
      <c r="AB2191" s="3">
        <v>0</v>
      </c>
      <c r="AC2191" s="3">
        <v>7</v>
      </c>
      <c r="AD2191" s="3">
        <v>6</v>
      </c>
      <c r="AE2191" s="3">
        <v>14</v>
      </c>
      <c r="AF2191" s="3" t="s">
        <v>0</v>
      </c>
      <c r="AG2191" s="3" t="s">
        <v>49</v>
      </c>
    </row>
    <row r="2192" spans="1:33" ht="38.25" x14ac:dyDescent="0.2">
      <c r="A2192" s="4" t="str">
        <f>HYPERLINK("http://www.patentics.cn/invokexml.do?sf=ShowPatent&amp;spn=US8274947&amp;sv=75acd4faa35674454820554e417a3731","US8274947")</f>
        <v>US8274947</v>
      </c>
      <c r="B2192" s="2" t="s">
        <v>9822</v>
      </c>
      <c r="C2192" s="2" t="s">
        <v>9823</v>
      </c>
      <c r="D2192" s="2" t="s">
        <v>346</v>
      </c>
      <c r="E2192" s="2" t="s">
        <v>346</v>
      </c>
      <c r="F2192" s="2" t="s">
        <v>9824</v>
      </c>
      <c r="G2192" s="2" t="s">
        <v>1006</v>
      </c>
      <c r="H2192" s="2" t="s">
        <v>0</v>
      </c>
      <c r="I2192" s="2" t="s">
        <v>2684</v>
      </c>
      <c r="J2192" s="2" t="s">
        <v>9825</v>
      </c>
      <c r="K2192" s="2" t="s">
        <v>43</v>
      </c>
      <c r="L2192" s="2" t="s">
        <v>57</v>
      </c>
      <c r="M2192" s="2" t="s">
        <v>82</v>
      </c>
      <c r="N2192" s="2" t="s">
        <v>958</v>
      </c>
      <c r="O2192" s="2">
        <v>0</v>
      </c>
      <c r="P2192" s="2">
        <v>34</v>
      </c>
      <c r="Q2192" s="2" t="s">
        <v>60</v>
      </c>
      <c r="R2192" s="2" t="s">
        <v>61</v>
      </c>
      <c r="S2192" s="2">
        <v>4</v>
      </c>
      <c r="T2192" s="2">
        <v>0</v>
      </c>
      <c r="U2192" s="2">
        <v>4</v>
      </c>
      <c r="V2192" s="2">
        <v>4</v>
      </c>
      <c r="W2192" s="2">
        <v>8</v>
      </c>
      <c r="X2192" s="2" t="s">
        <v>9826</v>
      </c>
      <c r="Y2192" s="2">
        <v>0</v>
      </c>
      <c r="Z2192" s="2">
        <v>8</v>
      </c>
      <c r="AA2192" s="2">
        <v>7</v>
      </c>
      <c r="AB2192" s="2">
        <v>2</v>
      </c>
      <c r="AC2192" s="2">
        <v>0</v>
      </c>
      <c r="AD2192" s="2">
        <v>0</v>
      </c>
      <c r="AE2192" s="2" t="s">
        <v>0</v>
      </c>
      <c r="AF2192" s="2">
        <v>1</v>
      </c>
      <c r="AG2192" s="2" t="s">
        <v>49</v>
      </c>
    </row>
    <row r="2193" spans="1:33" ht="25.5" x14ac:dyDescent="0.2">
      <c r="A2193" s="5" t="str">
        <f>HYPERLINK("http://www.patentics.cn/invokexml.do?sf=ShowPatent&amp;spn=US8467304&amp;sv=866efe8458b57178dda99e5227fa27bc","US8467304")</f>
        <v>US8467304</v>
      </c>
      <c r="B2193" s="3" t="s">
        <v>9827</v>
      </c>
      <c r="C2193" s="3" t="s">
        <v>9828</v>
      </c>
      <c r="D2193" s="3" t="s">
        <v>52</v>
      </c>
      <c r="E2193" s="3" t="s">
        <v>52</v>
      </c>
      <c r="F2193" s="3" t="s">
        <v>9829</v>
      </c>
      <c r="G2193" s="3" t="s">
        <v>9829</v>
      </c>
      <c r="H2193" s="3" t="s">
        <v>456</v>
      </c>
      <c r="I2193" s="3" t="s">
        <v>456</v>
      </c>
      <c r="J2193" s="3" t="s">
        <v>511</v>
      </c>
      <c r="K2193" s="3" t="s">
        <v>457</v>
      </c>
      <c r="L2193" s="3" t="s">
        <v>9830</v>
      </c>
      <c r="M2193" s="3" t="s">
        <v>82</v>
      </c>
      <c r="N2193" s="3" t="s">
        <v>958</v>
      </c>
      <c r="O2193" s="3">
        <v>0</v>
      </c>
      <c r="P2193" s="3">
        <v>11</v>
      </c>
      <c r="Q2193" s="3" t="s">
        <v>60</v>
      </c>
      <c r="R2193" s="3" t="s">
        <v>61</v>
      </c>
      <c r="S2193" s="3">
        <v>21</v>
      </c>
      <c r="T2193" s="3">
        <v>1</v>
      </c>
      <c r="U2193" s="3">
        <v>20</v>
      </c>
      <c r="V2193" s="3">
        <v>14</v>
      </c>
      <c r="W2193" s="3">
        <v>0</v>
      </c>
      <c r="X2193" s="3" t="s">
        <v>147</v>
      </c>
      <c r="Y2193" s="3">
        <v>0</v>
      </c>
      <c r="Z2193" s="3">
        <v>0</v>
      </c>
      <c r="AA2193" s="3">
        <v>0</v>
      </c>
      <c r="AB2193" s="3">
        <v>0</v>
      </c>
      <c r="AC2193" s="3">
        <v>12</v>
      </c>
      <c r="AD2193" s="3">
        <v>12</v>
      </c>
      <c r="AE2193" s="3">
        <v>14</v>
      </c>
      <c r="AF2193" s="3" t="s">
        <v>0</v>
      </c>
      <c r="AG2193" s="3" t="s">
        <v>49</v>
      </c>
    </row>
    <row r="2194" spans="1:33" ht="51" x14ac:dyDescent="0.2">
      <c r="A2194" s="4" t="str">
        <f>HYPERLINK("http://www.patentics.cn/invokexml.do?sf=ShowPatent&amp;spn=US8270435&amp;sv=fed96a0388d6b2262f6c03435373e21c","US8270435")</f>
        <v>US8270435</v>
      </c>
      <c r="B2194" s="2" t="s">
        <v>9831</v>
      </c>
      <c r="C2194" s="2" t="s">
        <v>9832</v>
      </c>
      <c r="D2194" s="2" t="s">
        <v>346</v>
      </c>
      <c r="E2194" s="2" t="s">
        <v>346</v>
      </c>
      <c r="F2194" s="2" t="s">
        <v>9833</v>
      </c>
      <c r="G2194" s="2" t="s">
        <v>9833</v>
      </c>
      <c r="H2194" s="2" t="s">
        <v>4340</v>
      </c>
      <c r="I2194" s="2" t="s">
        <v>9834</v>
      </c>
      <c r="J2194" s="2" t="s">
        <v>6547</v>
      </c>
      <c r="K2194" s="2" t="s">
        <v>70</v>
      </c>
      <c r="L2194" s="2" t="s">
        <v>2535</v>
      </c>
      <c r="M2194" s="2" t="s">
        <v>58</v>
      </c>
      <c r="N2194" s="2" t="s">
        <v>512</v>
      </c>
      <c r="O2194" s="2">
        <v>0</v>
      </c>
      <c r="P2194" s="2">
        <v>19</v>
      </c>
      <c r="Q2194" s="2" t="s">
        <v>60</v>
      </c>
      <c r="R2194" s="2" t="s">
        <v>61</v>
      </c>
      <c r="S2194" s="2">
        <v>2</v>
      </c>
      <c r="T2194" s="2">
        <v>0</v>
      </c>
      <c r="U2194" s="2">
        <v>2</v>
      </c>
      <c r="V2194" s="2">
        <v>1</v>
      </c>
      <c r="W2194" s="2">
        <v>2</v>
      </c>
      <c r="X2194" s="2" t="s">
        <v>1061</v>
      </c>
      <c r="Y2194" s="2">
        <v>0</v>
      </c>
      <c r="Z2194" s="2">
        <v>2</v>
      </c>
      <c r="AA2194" s="2">
        <v>2</v>
      </c>
      <c r="AB2194" s="2">
        <v>1</v>
      </c>
      <c r="AC2194" s="2">
        <v>1</v>
      </c>
      <c r="AD2194" s="2">
        <v>1</v>
      </c>
      <c r="AE2194" s="2" t="s">
        <v>0</v>
      </c>
      <c r="AF2194" s="2">
        <v>1</v>
      </c>
      <c r="AG2194" s="2" t="s">
        <v>49</v>
      </c>
    </row>
    <row r="2195" spans="1:33" ht="51" x14ac:dyDescent="0.2">
      <c r="A2195" s="5" t="str">
        <f>HYPERLINK("http://www.patentics.cn/invokexml.do?sf=ShowPatent&amp;spn=US9544082&amp;sv=5571acae7a7c0632e4915cc2298ab3a5","US9544082")</f>
        <v>US9544082</v>
      </c>
      <c r="B2195" s="3" t="s">
        <v>9835</v>
      </c>
      <c r="C2195" s="3" t="s">
        <v>9836</v>
      </c>
      <c r="D2195" s="3" t="s">
        <v>52</v>
      </c>
      <c r="E2195" s="3" t="s">
        <v>52</v>
      </c>
      <c r="F2195" s="3" t="s">
        <v>4245</v>
      </c>
      <c r="G2195" s="3" t="s">
        <v>3479</v>
      </c>
      <c r="H2195" s="3" t="s">
        <v>2013</v>
      </c>
      <c r="I2195" s="3" t="s">
        <v>9837</v>
      </c>
      <c r="J2195" s="3" t="s">
        <v>861</v>
      </c>
      <c r="K2195" s="3" t="s">
        <v>82</v>
      </c>
      <c r="L2195" s="3" t="s">
        <v>83</v>
      </c>
      <c r="M2195" s="3" t="s">
        <v>70</v>
      </c>
      <c r="N2195" s="3" t="s">
        <v>9838</v>
      </c>
      <c r="O2195" s="3">
        <v>0</v>
      </c>
      <c r="P2195" s="3">
        <v>20</v>
      </c>
      <c r="Q2195" s="3" t="s">
        <v>60</v>
      </c>
      <c r="R2195" s="3" t="s">
        <v>61</v>
      </c>
      <c r="S2195" s="3">
        <v>22</v>
      </c>
      <c r="T2195" s="3">
        <v>5</v>
      </c>
      <c r="U2195" s="3">
        <v>17</v>
      </c>
      <c r="V2195" s="3">
        <v>11</v>
      </c>
      <c r="W2195" s="3">
        <v>0</v>
      </c>
      <c r="X2195" s="3" t="s">
        <v>147</v>
      </c>
      <c r="Y2195" s="3">
        <v>0</v>
      </c>
      <c r="Z2195" s="3">
        <v>0</v>
      </c>
      <c r="AA2195" s="3">
        <v>0</v>
      </c>
      <c r="AB2195" s="3">
        <v>0</v>
      </c>
      <c r="AC2195" s="3">
        <v>5</v>
      </c>
      <c r="AD2195" s="3">
        <v>4</v>
      </c>
      <c r="AE2195" s="3">
        <v>14</v>
      </c>
      <c r="AF2195" s="3" t="s">
        <v>0</v>
      </c>
      <c r="AG2195" s="3" t="s">
        <v>49</v>
      </c>
    </row>
    <row r="2196" spans="1:33" ht="38.25" x14ac:dyDescent="0.2">
      <c r="A2196" s="4" t="str">
        <f>HYPERLINK("http://www.patentics.cn/invokexml.do?sf=ShowPatent&amp;spn=US8254382&amp;sv=2bf20749e7d3384ce91a3c91eb95927e","US8254382")</f>
        <v>US8254382</v>
      </c>
      <c r="B2196" s="2" t="s">
        <v>9839</v>
      </c>
      <c r="C2196" s="2" t="s">
        <v>9840</v>
      </c>
      <c r="D2196" s="2" t="s">
        <v>346</v>
      </c>
      <c r="E2196" s="2" t="s">
        <v>346</v>
      </c>
      <c r="F2196" s="2" t="s">
        <v>9841</v>
      </c>
      <c r="G2196" s="2" t="s">
        <v>9842</v>
      </c>
      <c r="H2196" s="2" t="s">
        <v>0</v>
      </c>
      <c r="I2196" s="2" t="s">
        <v>3816</v>
      </c>
      <c r="J2196" s="2" t="s">
        <v>9843</v>
      </c>
      <c r="K2196" s="2" t="s">
        <v>58</v>
      </c>
      <c r="L2196" s="2" t="s">
        <v>1236</v>
      </c>
      <c r="M2196" s="2" t="s">
        <v>82</v>
      </c>
      <c r="N2196" s="2" t="s">
        <v>9433</v>
      </c>
      <c r="O2196" s="2">
        <v>0</v>
      </c>
      <c r="P2196" s="2">
        <v>15</v>
      </c>
      <c r="Q2196" s="2" t="s">
        <v>60</v>
      </c>
      <c r="R2196" s="2" t="s">
        <v>61</v>
      </c>
      <c r="S2196" s="2">
        <v>1</v>
      </c>
      <c r="T2196" s="2">
        <v>0</v>
      </c>
      <c r="U2196" s="2">
        <v>1</v>
      </c>
      <c r="V2196" s="2">
        <v>1</v>
      </c>
      <c r="W2196" s="2">
        <v>7</v>
      </c>
      <c r="X2196" s="2" t="s">
        <v>1807</v>
      </c>
      <c r="Y2196" s="2">
        <v>0</v>
      </c>
      <c r="Z2196" s="2">
        <v>7</v>
      </c>
      <c r="AA2196" s="2">
        <v>2</v>
      </c>
      <c r="AB2196" s="2">
        <v>1</v>
      </c>
      <c r="AC2196" s="2">
        <v>0</v>
      </c>
      <c r="AD2196" s="2">
        <v>0</v>
      </c>
      <c r="AE2196" s="2" t="s">
        <v>0</v>
      </c>
      <c r="AF2196" s="2">
        <v>1</v>
      </c>
      <c r="AG2196" s="2" t="s">
        <v>49</v>
      </c>
    </row>
    <row r="2197" spans="1:33" ht="153" x14ac:dyDescent="0.2">
      <c r="A2197" s="5" t="str">
        <f>HYPERLINK("http://www.patentics.cn/invokexml.do?sf=ShowPatent&amp;spn=US9345065&amp;sv=8c464b555ad9a2c891c0b074514cd645","US9345065")</f>
        <v>US9345065</v>
      </c>
      <c r="B2197" s="3" t="s">
        <v>9844</v>
      </c>
      <c r="C2197" s="3" t="s">
        <v>9845</v>
      </c>
      <c r="D2197" s="3" t="s">
        <v>52</v>
      </c>
      <c r="E2197" s="3" t="s">
        <v>52</v>
      </c>
      <c r="F2197" s="3" t="s">
        <v>9846</v>
      </c>
      <c r="G2197" s="3" t="s">
        <v>1035</v>
      </c>
      <c r="H2197" s="3" t="s">
        <v>2241</v>
      </c>
      <c r="I2197" s="3" t="s">
        <v>5725</v>
      </c>
      <c r="J2197" s="3" t="s">
        <v>1625</v>
      </c>
      <c r="K2197" s="3" t="s">
        <v>82</v>
      </c>
      <c r="L2197" s="3" t="s">
        <v>9563</v>
      </c>
      <c r="M2197" s="3" t="s">
        <v>82</v>
      </c>
      <c r="N2197" s="3" t="s">
        <v>1214</v>
      </c>
      <c r="O2197" s="3">
        <v>0</v>
      </c>
      <c r="P2197" s="3">
        <v>14</v>
      </c>
      <c r="Q2197" s="3" t="s">
        <v>60</v>
      </c>
      <c r="R2197" s="3" t="s">
        <v>61</v>
      </c>
      <c r="S2197" s="3">
        <v>103</v>
      </c>
      <c r="T2197" s="3">
        <v>5</v>
      </c>
      <c r="U2197" s="3">
        <v>98</v>
      </c>
      <c r="V2197" s="3">
        <v>42</v>
      </c>
      <c r="W2197" s="3">
        <v>0</v>
      </c>
      <c r="X2197" s="3" t="s">
        <v>147</v>
      </c>
      <c r="Y2197" s="3">
        <v>0</v>
      </c>
      <c r="Z2197" s="3">
        <v>0</v>
      </c>
      <c r="AA2197" s="3">
        <v>0</v>
      </c>
      <c r="AB2197" s="3">
        <v>0</v>
      </c>
      <c r="AC2197" s="3">
        <v>40</v>
      </c>
      <c r="AD2197" s="3">
        <v>7</v>
      </c>
      <c r="AE2197" s="3">
        <v>14</v>
      </c>
      <c r="AF2197" s="3" t="s">
        <v>0</v>
      </c>
      <c r="AG2197" s="3" t="s">
        <v>49</v>
      </c>
    </row>
    <row r="2198" spans="1:33" ht="51" x14ac:dyDescent="0.2">
      <c r="A2198" s="4" t="str">
        <f>HYPERLINK("http://www.patentics.cn/invokexml.do?sf=ShowPatent&amp;spn=US8233421&amp;sv=0beaf456cbc04da3523da47cf246dc10","US8233421")</f>
        <v>US8233421</v>
      </c>
      <c r="B2198" s="2" t="s">
        <v>9847</v>
      </c>
      <c r="C2198" s="2" t="s">
        <v>9848</v>
      </c>
      <c r="D2198" s="2" t="s">
        <v>346</v>
      </c>
      <c r="E2198" s="2" t="s">
        <v>346</v>
      </c>
      <c r="F2198" s="2" t="s">
        <v>9849</v>
      </c>
      <c r="G2198" s="2" t="s">
        <v>9850</v>
      </c>
      <c r="H2198" s="2" t="s">
        <v>3611</v>
      </c>
      <c r="I2198" s="2" t="s">
        <v>6943</v>
      </c>
      <c r="J2198" s="2" t="s">
        <v>1528</v>
      </c>
      <c r="K2198" s="2" t="s">
        <v>1246</v>
      </c>
      <c r="L2198" s="2" t="s">
        <v>1247</v>
      </c>
      <c r="M2198" s="2" t="s">
        <v>82</v>
      </c>
      <c r="N2198" s="2" t="s">
        <v>1649</v>
      </c>
      <c r="O2198" s="2">
        <v>0</v>
      </c>
      <c r="P2198" s="2">
        <v>15</v>
      </c>
      <c r="Q2198" s="2" t="s">
        <v>60</v>
      </c>
      <c r="R2198" s="2" t="s">
        <v>47</v>
      </c>
      <c r="S2198" s="2">
        <v>6</v>
      </c>
      <c r="T2198" s="2">
        <v>1</v>
      </c>
      <c r="U2198" s="2">
        <v>5</v>
      </c>
      <c r="V2198" s="2">
        <v>5</v>
      </c>
      <c r="W2198" s="2">
        <v>1</v>
      </c>
      <c r="X2198" s="2" t="s">
        <v>580</v>
      </c>
      <c r="Y2198" s="2">
        <v>0</v>
      </c>
      <c r="Z2198" s="2">
        <v>1</v>
      </c>
      <c r="AA2198" s="2">
        <v>1</v>
      </c>
      <c r="AB2198" s="2">
        <v>1</v>
      </c>
      <c r="AC2198" s="2">
        <v>7</v>
      </c>
      <c r="AD2198" s="2">
        <v>4</v>
      </c>
      <c r="AE2198" s="2" t="s">
        <v>0</v>
      </c>
      <c r="AF2198" s="2">
        <v>1</v>
      </c>
      <c r="AG2198" s="2" t="s">
        <v>49</v>
      </c>
    </row>
    <row r="2199" spans="1:33" ht="63.75" x14ac:dyDescent="0.2">
      <c r="A2199" s="5" t="str">
        <f>HYPERLINK("http://www.patentics.cn/invokexml.do?sf=ShowPatent&amp;spn=US8724536&amp;sv=da312a10c44582ea39dcc2dca8b8830e","US8724536")</f>
        <v>US8724536</v>
      </c>
      <c r="B2199" s="3" t="s">
        <v>9851</v>
      </c>
      <c r="C2199" s="3" t="s">
        <v>9852</v>
      </c>
      <c r="D2199" s="3" t="s">
        <v>52</v>
      </c>
      <c r="E2199" s="3" t="s">
        <v>52</v>
      </c>
      <c r="F2199" s="3" t="s">
        <v>9853</v>
      </c>
      <c r="G2199" s="3" t="s">
        <v>8322</v>
      </c>
      <c r="H2199" s="3" t="s">
        <v>2354</v>
      </c>
      <c r="I2199" s="3" t="s">
        <v>2354</v>
      </c>
      <c r="J2199" s="3" t="s">
        <v>903</v>
      </c>
      <c r="K2199" s="3" t="s">
        <v>1246</v>
      </c>
      <c r="L2199" s="3" t="s">
        <v>1247</v>
      </c>
      <c r="M2199" s="3" t="s">
        <v>82</v>
      </c>
      <c r="N2199" s="3" t="s">
        <v>1420</v>
      </c>
      <c r="O2199" s="3">
        <v>0</v>
      </c>
      <c r="P2199" s="3">
        <v>16</v>
      </c>
      <c r="Q2199" s="3" t="s">
        <v>60</v>
      </c>
      <c r="R2199" s="3" t="s">
        <v>61</v>
      </c>
      <c r="S2199" s="3">
        <v>6</v>
      </c>
      <c r="T2199" s="3">
        <v>2</v>
      </c>
      <c r="U2199" s="3">
        <v>4</v>
      </c>
      <c r="V2199" s="3">
        <v>4</v>
      </c>
      <c r="W2199" s="3">
        <v>0</v>
      </c>
      <c r="X2199" s="3" t="s">
        <v>147</v>
      </c>
      <c r="Y2199" s="3">
        <v>0</v>
      </c>
      <c r="Z2199" s="3">
        <v>0</v>
      </c>
      <c r="AA2199" s="3">
        <v>0</v>
      </c>
      <c r="AB2199" s="3">
        <v>0</v>
      </c>
      <c r="AC2199" s="3">
        <v>5</v>
      </c>
      <c r="AD2199" s="3">
        <v>4</v>
      </c>
      <c r="AE2199" s="3">
        <v>14</v>
      </c>
      <c r="AF2199" s="3" t="s">
        <v>0</v>
      </c>
      <c r="AG2199" s="3" t="s">
        <v>49</v>
      </c>
    </row>
    <row r="2200" spans="1:33" ht="25.5" x14ac:dyDescent="0.2">
      <c r="A2200" s="4" t="str">
        <f>HYPERLINK("http://www.patentics.cn/invokexml.do?sf=ShowPatent&amp;spn=US8229439&amp;sv=fa1c85bf84ac7de70134d0530a7d26b1","US8229439")</f>
        <v>US8229439</v>
      </c>
      <c r="B2200" s="2" t="s">
        <v>9854</v>
      </c>
      <c r="C2200" s="2" t="s">
        <v>9855</v>
      </c>
      <c r="D2200" s="2" t="s">
        <v>346</v>
      </c>
      <c r="E2200" s="2" t="s">
        <v>346</v>
      </c>
      <c r="F2200" s="2" t="s">
        <v>6599</v>
      </c>
      <c r="G2200" s="2" t="s">
        <v>6599</v>
      </c>
      <c r="H2200" s="2" t="s">
        <v>3611</v>
      </c>
      <c r="I2200" s="2" t="s">
        <v>3612</v>
      </c>
      <c r="J2200" s="2" t="s">
        <v>9856</v>
      </c>
      <c r="K2200" s="2" t="s">
        <v>82</v>
      </c>
      <c r="L2200" s="2" t="s">
        <v>177</v>
      </c>
      <c r="M2200" s="2" t="s">
        <v>82</v>
      </c>
      <c r="N2200" s="2" t="s">
        <v>1011</v>
      </c>
      <c r="O2200" s="2">
        <v>0</v>
      </c>
      <c r="P2200" s="2">
        <v>21</v>
      </c>
      <c r="Q2200" s="2" t="s">
        <v>60</v>
      </c>
      <c r="R2200" s="2" t="s">
        <v>47</v>
      </c>
      <c r="S2200" s="2">
        <v>6</v>
      </c>
      <c r="T2200" s="2">
        <v>0</v>
      </c>
      <c r="U2200" s="2">
        <v>6</v>
      </c>
      <c r="V2200" s="2">
        <v>4</v>
      </c>
      <c r="W2200" s="2">
        <v>4</v>
      </c>
      <c r="X2200" s="2" t="s">
        <v>4732</v>
      </c>
      <c r="Y2200" s="2">
        <v>2</v>
      </c>
      <c r="Z2200" s="2">
        <v>2</v>
      </c>
      <c r="AA2200" s="2">
        <v>3</v>
      </c>
      <c r="AB2200" s="2">
        <v>1</v>
      </c>
      <c r="AC2200" s="2">
        <v>17</v>
      </c>
      <c r="AD2200" s="2">
        <v>10</v>
      </c>
      <c r="AE2200" s="2" t="s">
        <v>0</v>
      </c>
      <c r="AF2200" s="2">
        <v>1</v>
      </c>
      <c r="AG2200" s="2" t="s">
        <v>49</v>
      </c>
    </row>
    <row r="2201" spans="1:33" ht="38.25" x14ac:dyDescent="0.2">
      <c r="A2201" s="5" t="str">
        <f>HYPERLINK("http://www.patentics.cn/invokexml.do?sf=ShowPatent&amp;spn=US9215626&amp;sv=1e4bbaf26734be708e27ba24dd53ddde","US9215626")</f>
        <v>US9215626</v>
      </c>
      <c r="B2201" s="3" t="s">
        <v>3614</v>
      </c>
      <c r="C2201" s="3" t="s">
        <v>3615</v>
      </c>
      <c r="D2201" s="3" t="s">
        <v>52</v>
      </c>
      <c r="E2201" s="3" t="s">
        <v>52</v>
      </c>
      <c r="F2201" s="3" t="s">
        <v>3616</v>
      </c>
      <c r="G2201" s="3" t="s">
        <v>3616</v>
      </c>
      <c r="H2201" s="3" t="s">
        <v>3617</v>
      </c>
      <c r="I2201" s="3" t="s">
        <v>3618</v>
      </c>
      <c r="J2201" s="3" t="s">
        <v>2568</v>
      </c>
      <c r="K2201" s="3" t="s">
        <v>82</v>
      </c>
      <c r="L2201" s="3" t="s">
        <v>83</v>
      </c>
      <c r="M2201" s="3" t="s">
        <v>82</v>
      </c>
      <c r="N2201" s="3" t="s">
        <v>3421</v>
      </c>
      <c r="O2201" s="3">
        <v>0</v>
      </c>
      <c r="P2201" s="3">
        <v>7</v>
      </c>
      <c r="Q2201" s="3" t="s">
        <v>60</v>
      </c>
      <c r="R2201" s="3" t="s">
        <v>61</v>
      </c>
      <c r="S2201" s="3">
        <v>22</v>
      </c>
      <c r="T2201" s="3">
        <v>1</v>
      </c>
      <c r="U2201" s="3">
        <v>21</v>
      </c>
      <c r="V2201" s="3">
        <v>13</v>
      </c>
      <c r="W2201" s="3">
        <v>12</v>
      </c>
      <c r="X2201" s="3" t="s">
        <v>147</v>
      </c>
      <c r="Y2201" s="3">
        <v>0</v>
      </c>
      <c r="Z2201" s="3">
        <v>12</v>
      </c>
      <c r="AA2201" s="3">
        <v>0</v>
      </c>
      <c r="AB2201" s="3">
        <v>1</v>
      </c>
      <c r="AC2201" s="3">
        <v>8</v>
      </c>
      <c r="AD2201" s="3">
        <v>6</v>
      </c>
      <c r="AE2201" s="3">
        <v>14</v>
      </c>
      <c r="AF2201" s="3" t="s">
        <v>0</v>
      </c>
      <c r="AG2201" s="3" t="s">
        <v>49</v>
      </c>
    </row>
    <row r="2202" spans="1:33" ht="76.5" x14ac:dyDescent="0.2">
      <c r="A2202" s="4" t="str">
        <f>HYPERLINK("http://www.patentics.cn/invokexml.do?sf=ShowPatent&amp;spn=US8064425&amp;sv=2af66a46644fa487452ee2db6c88eaf4","US8064425")</f>
        <v>US8064425</v>
      </c>
      <c r="B2202" s="2" t="s">
        <v>9857</v>
      </c>
      <c r="C2202" s="2" t="s">
        <v>9858</v>
      </c>
      <c r="D2202" s="2" t="s">
        <v>346</v>
      </c>
      <c r="E2202" s="2" t="s">
        <v>346</v>
      </c>
      <c r="F2202" s="2" t="s">
        <v>9859</v>
      </c>
      <c r="G2202" s="2" t="s">
        <v>6527</v>
      </c>
      <c r="H2202" s="2" t="s">
        <v>6957</v>
      </c>
      <c r="I2202" s="2" t="s">
        <v>6957</v>
      </c>
      <c r="J2202" s="2" t="s">
        <v>1520</v>
      </c>
      <c r="K2202" s="2" t="s">
        <v>70</v>
      </c>
      <c r="L2202" s="2" t="s">
        <v>9860</v>
      </c>
      <c r="M2202" s="2" t="s">
        <v>58</v>
      </c>
      <c r="N2202" s="2" t="s">
        <v>512</v>
      </c>
      <c r="O2202" s="2">
        <v>0</v>
      </c>
      <c r="P2202" s="2">
        <v>32</v>
      </c>
      <c r="Q2202" s="2" t="s">
        <v>60</v>
      </c>
      <c r="R2202" s="2" t="s">
        <v>47</v>
      </c>
      <c r="S2202" s="2">
        <v>8</v>
      </c>
      <c r="T2202" s="2">
        <v>0</v>
      </c>
      <c r="U2202" s="2">
        <v>8</v>
      </c>
      <c r="V2202" s="2">
        <v>7</v>
      </c>
      <c r="W2202" s="2">
        <v>1</v>
      </c>
      <c r="X2202" s="2" t="s">
        <v>108</v>
      </c>
      <c r="Y2202" s="2">
        <v>0</v>
      </c>
      <c r="Z2202" s="2">
        <v>1</v>
      </c>
      <c r="AA2202" s="2">
        <v>1</v>
      </c>
      <c r="AB2202" s="2">
        <v>1</v>
      </c>
      <c r="AC2202" s="2">
        <v>12</v>
      </c>
      <c r="AD2202" s="2">
        <v>7</v>
      </c>
      <c r="AE2202" s="2" t="s">
        <v>0</v>
      </c>
      <c r="AF2202" s="2">
        <v>1</v>
      </c>
      <c r="AG2202" s="2" t="s">
        <v>49</v>
      </c>
    </row>
    <row r="2203" spans="1:33" ht="38.25" x14ac:dyDescent="0.2">
      <c r="A2203" s="5" t="str">
        <f>HYPERLINK("http://www.patentics.cn/invokexml.do?sf=ShowPatent&amp;spn=US9247547&amp;sv=6ac735d56c680732a53747d3b40e1315","US9247547")</f>
        <v>US9247547</v>
      </c>
      <c r="B2203" s="3" t="s">
        <v>946</v>
      </c>
      <c r="C2203" s="3" t="s">
        <v>947</v>
      </c>
      <c r="D2203" s="3" t="s">
        <v>52</v>
      </c>
      <c r="E2203" s="3" t="s">
        <v>52</v>
      </c>
      <c r="F2203" s="3" t="s">
        <v>948</v>
      </c>
      <c r="G2203" s="3" t="s">
        <v>949</v>
      </c>
      <c r="H2203" s="3" t="s">
        <v>950</v>
      </c>
      <c r="I2203" s="3" t="s">
        <v>951</v>
      </c>
      <c r="J2203" s="3" t="s">
        <v>309</v>
      </c>
      <c r="K2203" s="3" t="s">
        <v>82</v>
      </c>
      <c r="L2203" s="3" t="s">
        <v>83</v>
      </c>
      <c r="M2203" s="3" t="s">
        <v>82</v>
      </c>
      <c r="N2203" s="3" t="s">
        <v>952</v>
      </c>
      <c r="O2203" s="3">
        <v>0</v>
      </c>
      <c r="P2203" s="3">
        <v>12</v>
      </c>
      <c r="Q2203" s="3" t="s">
        <v>60</v>
      </c>
      <c r="R2203" s="3" t="s">
        <v>61</v>
      </c>
      <c r="S2203" s="3">
        <v>47</v>
      </c>
      <c r="T2203" s="3">
        <v>1</v>
      </c>
      <c r="U2203" s="3">
        <v>46</v>
      </c>
      <c r="V2203" s="3">
        <v>24</v>
      </c>
      <c r="W2203" s="3">
        <v>0</v>
      </c>
      <c r="X2203" s="3" t="s">
        <v>147</v>
      </c>
      <c r="Y2203" s="3">
        <v>0</v>
      </c>
      <c r="Z2203" s="3">
        <v>0</v>
      </c>
      <c r="AA2203" s="3">
        <v>0</v>
      </c>
      <c r="AB2203" s="3">
        <v>0</v>
      </c>
      <c r="AC2203" s="3">
        <v>15</v>
      </c>
      <c r="AD2203" s="3">
        <v>7</v>
      </c>
      <c r="AE2203" s="3">
        <v>14</v>
      </c>
      <c r="AF2203" s="3" t="s">
        <v>0</v>
      </c>
      <c r="AG2203" s="3" t="s">
        <v>49</v>
      </c>
    </row>
    <row r="2204" spans="1:33" ht="89.25" x14ac:dyDescent="0.2">
      <c r="A2204" s="4" t="str">
        <f>HYPERLINK("http://www.patentics.cn/invokexml.do?sf=ShowPatent&amp;spn=US7792205&amp;sv=0adf4b160cfce1bded7d9eaab1e2b5c1","US7792205")</f>
        <v>US7792205</v>
      </c>
      <c r="B2204" s="2" t="s">
        <v>9861</v>
      </c>
      <c r="C2204" s="2" t="s">
        <v>3295</v>
      </c>
      <c r="D2204" s="2" t="s">
        <v>346</v>
      </c>
      <c r="E2204" s="2" t="s">
        <v>346</v>
      </c>
      <c r="F2204" s="2" t="s">
        <v>3296</v>
      </c>
      <c r="G2204" s="2" t="s">
        <v>3297</v>
      </c>
      <c r="H2204" s="2" t="s">
        <v>3298</v>
      </c>
      <c r="I2204" s="2" t="s">
        <v>3299</v>
      </c>
      <c r="J2204" s="2" t="s">
        <v>2197</v>
      </c>
      <c r="K2204" s="2" t="s">
        <v>58</v>
      </c>
      <c r="L2204" s="2" t="s">
        <v>2603</v>
      </c>
      <c r="M2204" s="2" t="s">
        <v>95</v>
      </c>
      <c r="N2204" s="2" t="s">
        <v>9862</v>
      </c>
      <c r="O2204" s="2">
        <v>0</v>
      </c>
      <c r="P2204" s="2">
        <v>27</v>
      </c>
      <c r="Q2204" s="2" t="s">
        <v>60</v>
      </c>
      <c r="R2204" s="2" t="s">
        <v>61</v>
      </c>
      <c r="S2204" s="2">
        <v>3</v>
      </c>
      <c r="T2204" s="2">
        <v>0</v>
      </c>
      <c r="U2204" s="2">
        <v>3</v>
      </c>
      <c r="V2204" s="2">
        <v>2</v>
      </c>
      <c r="W2204" s="2">
        <v>5</v>
      </c>
      <c r="X2204" s="2" t="s">
        <v>4780</v>
      </c>
      <c r="Y2204" s="2">
        <v>0</v>
      </c>
      <c r="Z2204" s="2">
        <v>5</v>
      </c>
      <c r="AA2204" s="2">
        <v>5</v>
      </c>
      <c r="AB2204" s="2">
        <v>1</v>
      </c>
      <c r="AC2204" s="2">
        <v>1</v>
      </c>
      <c r="AD2204" s="2">
        <v>1</v>
      </c>
      <c r="AE2204" s="2" t="s">
        <v>0</v>
      </c>
      <c r="AF2204" s="2">
        <v>1</v>
      </c>
      <c r="AG2204" s="2" t="s">
        <v>755</v>
      </c>
    </row>
    <row r="2205" spans="1:33" ht="165.75" x14ac:dyDescent="0.2">
      <c r="A2205" s="5" t="str">
        <f>HYPERLINK("http://www.patentics.cn/invokexml.do?sf=ShowPatent&amp;spn=US8726138&amp;sv=d56fe7003479acd49d5565e78a218046","US8726138")</f>
        <v>US8726138</v>
      </c>
      <c r="B2205" s="3" t="s">
        <v>9863</v>
      </c>
      <c r="C2205" s="3" t="s">
        <v>9864</v>
      </c>
      <c r="D2205" s="3" t="s">
        <v>52</v>
      </c>
      <c r="E2205" s="3" t="s">
        <v>52</v>
      </c>
      <c r="F2205" s="3" t="s">
        <v>9865</v>
      </c>
      <c r="G2205" s="3" t="s">
        <v>1327</v>
      </c>
      <c r="H2205" s="3" t="s">
        <v>9866</v>
      </c>
      <c r="I2205" s="3" t="s">
        <v>9866</v>
      </c>
      <c r="J2205" s="3" t="s">
        <v>903</v>
      </c>
      <c r="K2205" s="3" t="s">
        <v>95</v>
      </c>
      <c r="L2205" s="3" t="s">
        <v>563</v>
      </c>
      <c r="M2205" s="3" t="s">
        <v>95</v>
      </c>
      <c r="N2205" s="3" t="s">
        <v>9867</v>
      </c>
      <c r="O2205" s="3">
        <v>0</v>
      </c>
      <c r="P2205" s="3">
        <v>25</v>
      </c>
      <c r="Q2205" s="3" t="s">
        <v>60</v>
      </c>
      <c r="R2205" s="3" t="s">
        <v>61</v>
      </c>
      <c r="S2205" s="3">
        <v>8</v>
      </c>
      <c r="T2205" s="3">
        <v>0</v>
      </c>
      <c r="U2205" s="3">
        <v>8</v>
      </c>
      <c r="V2205" s="3">
        <v>6</v>
      </c>
      <c r="W2205" s="3">
        <v>0</v>
      </c>
      <c r="X2205" s="3" t="s">
        <v>147</v>
      </c>
      <c r="Y2205" s="3">
        <v>0</v>
      </c>
      <c r="Z2205" s="3">
        <v>0</v>
      </c>
      <c r="AA2205" s="3">
        <v>0</v>
      </c>
      <c r="AB2205" s="3">
        <v>0</v>
      </c>
      <c r="AC2205" s="3">
        <v>3</v>
      </c>
      <c r="AD2205" s="3">
        <v>3</v>
      </c>
      <c r="AE2205" s="3">
        <v>14</v>
      </c>
      <c r="AF2205" s="3" t="s">
        <v>0</v>
      </c>
      <c r="AG2205" s="3" t="s">
        <v>49</v>
      </c>
    </row>
    <row r="2206" spans="1:33" ht="89.25" x14ac:dyDescent="0.2">
      <c r="A2206" s="4" t="str">
        <f>HYPERLINK("http://www.patentics.cn/invokexml.do?sf=ShowPatent&amp;spn=US7630320&amp;sv=2598ba3bc1d647a95d0e8446b5dddfd6","US7630320")</f>
        <v>US7630320</v>
      </c>
      <c r="B2206" s="2" t="s">
        <v>9868</v>
      </c>
      <c r="C2206" s="2" t="s">
        <v>9869</v>
      </c>
      <c r="D2206" s="2" t="s">
        <v>346</v>
      </c>
      <c r="E2206" s="2" t="s">
        <v>346</v>
      </c>
      <c r="F2206" s="2" t="s">
        <v>9870</v>
      </c>
      <c r="G2206" s="2" t="s">
        <v>9871</v>
      </c>
      <c r="H2206" s="2" t="s">
        <v>9872</v>
      </c>
      <c r="I2206" s="2" t="s">
        <v>9872</v>
      </c>
      <c r="J2206" s="2" t="s">
        <v>3952</v>
      </c>
      <c r="K2206" s="2" t="s">
        <v>58</v>
      </c>
      <c r="L2206" s="2" t="s">
        <v>763</v>
      </c>
      <c r="M2206" s="2" t="s">
        <v>58</v>
      </c>
      <c r="N2206" s="2" t="s">
        <v>9873</v>
      </c>
      <c r="O2206" s="2">
        <v>0</v>
      </c>
      <c r="P2206" s="2">
        <v>18</v>
      </c>
      <c r="Q2206" s="2" t="s">
        <v>60</v>
      </c>
      <c r="R2206" s="2" t="s">
        <v>47</v>
      </c>
      <c r="S2206" s="2">
        <v>31</v>
      </c>
      <c r="T2206" s="2">
        <v>0</v>
      </c>
      <c r="U2206" s="2">
        <v>31</v>
      </c>
      <c r="V2206" s="2">
        <v>21</v>
      </c>
      <c r="W2206" s="2">
        <v>8</v>
      </c>
      <c r="X2206" s="2" t="s">
        <v>4764</v>
      </c>
      <c r="Y2206" s="2">
        <v>0</v>
      </c>
      <c r="Z2206" s="2">
        <v>8</v>
      </c>
      <c r="AA2206" s="2">
        <v>6</v>
      </c>
      <c r="AB2206" s="2">
        <v>1</v>
      </c>
      <c r="AC2206" s="2">
        <v>6</v>
      </c>
      <c r="AD2206" s="2">
        <v>5</v>
      </c>
      <c r="AE2206" s="2" t="s">
        <v>0</v>
      </c>
      <c r="AF2206" s="2">
        <v>1</v>
      </c>
      <c r="AG2206" s="2" t="s">
        <v>49</v>
      </c>
    </row>
    <row r="2207" spans="1:33" ht="89.25" x14ac:dyDescent="0.2">
      <c r="A2207" s="5" t="str">
        <f>HYPERLINK("http://www.patentics.cn/invokexml.do?sf=ShowPatent&amp;spn=US8144589&amp;sv=395a766290a87bbae9503bd262363e44","US8144589")</f>
        <v>US8144589</v>
      </c>
      <c r="B2207" s="3" t="s">
        <v>9874</v>
      </c>
      <c r="C2207" s="3" t="s">
        <v>9875</v>
      </c>
      <c r="D2207" s="3" t="s">
        <v>52</v>
      </c>
      <c r="E2207" s="3" t="s">
        <v>52</v>
      </c>
      <c r="F2207" s="3" t="s">
        <v>9876</v>
      </c>
      <c r="G2207" s="3" t="s">
        <v>1853</v>
      </c>
      <c r="H2207" s="3" t="s">
        <v>9877</v>
      </c>
      <c r="I2207" s="3" t="s">
        <v>9878</v>
      </c>
      <c r="J2207" s="3" t="s">
        <v>400</v>
      </c>
      <c r="K2207" s="3" t="s">
        <v>457</v>
      </c>
      <c r="L2207" s="3" t="s">
        <v>9830</v>
      </c>
      <c r="M2207" s="3" t="s">
        <v>58</v>
      </c>
      <c r="N2207" s="3" t="s">
        <v>9873</v>
      </c>
      <c r="O2207" s="3">
        <v>0</v>
      </c>
      <c r="P2207" s="3">
        <v>17</v>
      </c>
      <c r="Q2207" s="3" t="s">
        <v>60</v>
      </c>
      <c r="R2207" s="3" t="s">
        <v>61</v>
      </c>
      <c r="S2207" s="3">
        <v>16</v>
      </c>
      <c r="T2207" s="3">
        <v>3</v>
      </c>
      <c r="U2207" s="3">
        <v>13</v>
      </c>
      <c r="V2207" s="3">
        <v>10</v>
      </c>
      <c r="W2207" s="3">
        <v>5</v>
      </c>
      <c r="X2207" s="3" t="s">
        <v>2522</v>
      </c>
      <c r="Y2207" s="3">
        <v>1</v>
      </c>
      <c r="Z2207" s="3">
        <v>4</v>
      </c>
      <c r="AA2207" s="3">
        <v>5</v>
      </c>
      <c r="AB2207" s="3">
        <v>1</v>
      </c>
      <c r="AC2207" s="3">
        <v>22</v>
      </c>
      <c r="AD2207" s="3">
        <v>16</v>
      </c>
      <c r="AE2207" s="3">
        <v>14</v>
      </c>
      <c r="AF2207" s="3" t="s">
        <v>0</v>
      </c>
      <c r="AG2207" s="3" t="s">
        <v>49</v>
      </c>
    </row>
    <row r="2208" spans="1:33" ht="76.5" x14ac:dyDescent="0.2">
      <c r="A2208" s="4" t="str">
        <f>HYPERLINK("http://www.patentics.cn/invokexml.do?sf=ShowPatent&amp;spn=US7136647&amp;sv=82447db7ebd2714a11f6fb7ba71799b2","US7136647")</f>
        <v>US7136647</v>
      </c>
      <c r="B2208" s="2" t="s">
        <v>9879</v>
      </c>
      <c r="C2208" s="2" t="s">
        <v>9880</v>
      </c>
      <c r="D2208" s="2" t="s">
        <v>346</v>
      </c>
      <c r="E2208" s="2" t="s">
        <v>346</v>
      </c>
      <c r="F2208" s="2" t="s">
        <v>9881</v>
      </c>
      <c r="G2208" s="2" t="s">
        <v>9882</v>
      </c>
      <c r="H2208" s="2" t="s">
        <v>1106</v>
      </c>
      <c r="I2208" s="2" t="s">
        <v>9883</v>
      </c>
      <c r="J2208" s="2" t="s">
        <v>1978</v>
      </c>
      <c r="K2208" s="2" t="s">
        <v>43</v>
      </c>
      <c r="L2208" s="2" t="s">
        <v>377</v>
      </c>
      <c r="M2208" s="2" t="s">
        <v>82</v>
      </c>
      <c r="N2208" s="2" t="s">
        <v>9884</v>
      </c>
      <c r="O2208" s="2">
        <v>0</v>
      </c>
      <c r="P2208" s="2">
        <v>27</v>
      </c>
      <c r="Q2208" s="2" t="s">
        <v>60</v>
      </c>
      <c r="R2208" s="2" t="s">
        <v>47</v>
      </c>
      <c r="S2208" s="2">
        <v>14</v>
      </c>
      <c r="T2208" s="2">
        <v>0</v>
      </c>
      <c r="U2208" s="2">
        <v>14</v>
      </c>
      <c r="V2208" s="2">
        <v>6</v>
      </c>
      <c r="W2208" s="2">
        <v>3</v>
      </c>
      <c r="X2208" s="2" t="s">
        <v>1249</v>
      </c>
      <c r="Y2208" s="2">
        <v>0</v>
      </c>
      <c r="Z2208" s="2">
        <v>3</v>
      </c>
      <c r="AA2208" s="2">
        <v>2</v>
      </c>
      <c r="AB2208" s="2">
        <v>2</v>
      </c>
      <c r="AC2208" s="2">
        <v>12</v>
      </c>
      <c r="AD2208" s="2">
        <v>9</v>
      </c>
      <c r="AE2208" s="2" t="s">
        <v>0</v>
      </c>
      <c r="AF2208" s="2">
        <v>1</v>
      </c>
      <c r="AG2208" s="2" t="s">
        <v>49</v>
      </c>
    </row>
    <row r="2209" spans="1:33" ht="76.5" x14ac:dyDescent="0.2">
      <c r="A2209" s="5" t="str">
        <f>HYPERLINK("http://www.patentics.cn/invokexml.do?sf=ShowPatent&amp;spn=US8391192&amp;sv=2e53d4441809cce8a5069f3c63a27bbc","US8391192")</f>
        <v>US8391192</v>
      </c>
      <c r="B2209" s="3" t="s">
        <v>8778</v>
      </c>
      <c r="C2209" s="3" t="s">
        <v>1119</v>
      </c>
      <c r="D2209" s="3" t="s">
        <v>52</v>
      </c>
      <c r="E2209" s="3" t="s">
        <v>52</v>
      </c>
      <c r="F2209" s="3" t="s">
        <v>8779</v>
      </c>
      <c r="G2209" s="3" t="s">
        <v>1219</v>
      </c>
      <c r="H2209" s="3" t="s">
        <v>874</v>
      </c>
      <c r="I2209" s="3" t="s">
        <v>8780</v>
      </c>
      <c r="J2209" s="3" t="s">
        <v>8781</v>
      </c>
      <c r="K2209" s="3" t="s">
        <v>84</v>
      </c>
      <c r="L2209" s="3" t="s">
        <v>163</v>
      </c>
      <c r="M2209" s="3" t="s">
        <v>82</v>
      </c>
      <c r="N2209" s="3" t="s">
        <v>3454</v>
      </c>
      <c r="O2209" s="3">
        <v>0</v>
      </c>
      <c r="P2209" s="3">
        <v>9</v>
      </c>
      <c r="Q2209" s="3" t="s">
        <v>60</v>
      </c>
      <c r="R2209" s="3" t="s">
        <v>61</v>
      </c>
      <c r="S2209" s="3">
        <v>23</v>
      </c>
      <c r="T2209" s="3">
        <v>3</v>
      </c>
      <c r="U2209" s="3">
        <v>20</v>
      </c>
      <c r="V2209" s="3">
        <v>12</v>
      </c>
      <c r="W2209" s="3">
        <v>1</v>
      </c>
      <c r="X2209" s="3" t="s">
        <v>147</v>
      </c>
      <c r="Y2209" s="3">
        <v>0</v>
      </c>
      <c r="Z2209" s="3">
        <v>1</v>
      </c>
      <c r="AA2209" s="3">
        <v>1</v>
      </c>
      <c r="AB2209" s="3">
        <v>1</v>
      </c>
      <c r="AC2209" s="3">
        <v>8</v>
      </c>
      <c r="AD2209" s="3">
        <v>6</v>
      </c>
      <c r="AE2209" s="3">
        <v>14</v>
      </c>
      <c r="AF2209" s="3" t="s">
        <v>0</v>
      </c>
      <c r="AG2209" s="3" t="s">
        <v>49</v>
      </c>
    </row>
    <row r="2210" spans="1:33" ht="38.25" x14ac:dyDescent="0.2">
      <c r="A2210" s="4" t="str">
        <f>HYPERLINK("http://www.patentics.cn/invokexml.do?sf=ShowPatent&amp;spn=US7035231&amp;sv=f9ac4d6d9a055503ff628eb338e02bc0","US7035231")</f>
        <v>US7035231</v>
      </c>
      <c r="B2210" s="2" t="s">
        <v>9885</v>
      </c>
      <c r="C2210" s="2" t="s">
        <v>9886</v>
      </c>
      <c r="D2210" s="2" t="s">
        <v>346</v>
      </c>
      <c r="E2210" s="2" t="s">
        <v>346</v>
      </c>
      <c r="F2210" s="2" t="s">
        <v>9887</v>
      </c>
      <c r="G2210" s="2" t="s">
        <v>9888</v>
      </c>
      <c r="H2210" s="2" t="s">
        <v>349</v>
      </c>
      <c r="I2210" s="2" t="s">
        <v>350</v>
      </c>
      <c r="J2210" s="2" t="s">
        <v>9889</v>
      </c>
      <c r="K2210" s="2" t="s">
        <v>84</v>
      </c>
      <c r="L2210" s="2" t="s">
        <v>784</v>
      </c>
      <c r="M2210" s="2" t="s">
        <v>82</v>
      </c>
      <c r="N2210" s="2" t="s">
        <v>828</v>
      </c>
      <c r="O2210" s="2">
        <v>0</v>
      </c>
      <c r="P2210" s="2">
        <v>8</v>
      </c>
      <c r="Q2210" s="2" t="s">
        <v>60</v>
      </c>
      <c r="R2210" s="2" t="s">
        <v>47</v>
      </c>
      <c r="S2210" s="2">
        <v>10</v>
      </c>
      <c r="T2210" s="2">
        <v>0</v>
      </c>
      <c r="U2210" s="2">
        <v>10</v>
      </c>
      <c r="V2210" s="2">
        <v>8</v>
      </c>
      <c r="W2210" s="2">
        <v>9</v>
      </c>
      <c r="X2210" s="2" t="s">
        <v>4676</v>
      </c>
      <c r="Y2210" s="2">
        <v>0</v>
      </c>
      <c r="Z2210" s="2">
        <v>9</v>
      </c>
      <c r="AA2210" s="2">
        <v>5</v>
      </c>
      <c r="AB2210" s="2">
        <v>1</v>
      </c>
      <c r="AC2210" s="2">
        <v>3</v>
      </c>
      <c r="AD2210" s="2">
        <v>2</v>
      </c>
      <c r="AE2210" s="2" t="s">
        <v>0</v>
      </c>
      <c r="AF2210" s="2">
        <v>1</v>
      </c>
      <c r="AG2210" s="2" t="s">
        <v>49</v>
      </c>
    </row>
    <row r="2211" spans="1:33" ht="76.5" x14ac:dyDescent="0.2">
      <c r="A2211" s="5" t="str">
        <f>HYPERLINK("http://www.patentics.cn/invokexml.do?sf=ShowPatent&amp;spn=US8160027&amp;sv=b093091cee3740ad4624ddb5e5d3012e","US8160027")</f>
        <v>US8160027</v>
      </c>
      <c r="B2211" s="3" t="s">
        <v>9890</v>
      </c>
      <c r="C2211" s="3" t="s">
        <v>9891</v>
      </c>
      <c r="D2211" s="3" t="s">
        <v>52</v>
      </c>
      <c r="E2211" s="3" t="s">
        <v>52</v>
      </c>
      <c r="F2211" s="3" t="s">
        <v>9892</v>
      </c>
      <c r="G2211" s="3" t="s">
        <v>9893</v>
      </c>
      <c r="H2211" s="3" t="s">
        <v>9894</v>
      </c>
      <c r="I2211" s="3" t="s">
        <v>8598</v>
      </c>
      <c r="J2211" s="3" t="s">
        <v>4289</v>
      </c>
      <c r="K2211" s="3" t="s">
        <v>84</v>
      </c>
      <c r="L2211" s="3" t="s">
        <v>163</v>
      </c>
      <c r="M2211" s="3" t="s">
        <v>82</v>
      </c>
      <c r="N2211" s="3" t="s">
        <v>9895</v>
      </c>
      <c r="O2211" s="3">
        <v>0</v>
      </c>
      <c r="P2211" s="3">
        <v>13</v>
      </c>
      <c r="Q2211" s="3" t="s">
        <v>60</v>
      </c>
      <c r="R2211" s="3" t="s">
        <v>61</v>
      </c>
      <c r="S2211" s="3">
        <v>51</v>
      </c>
      <c r="T2211" s="3">
        <v>14</v>
      </c>
      <c r="U2211" s="3">
        <v>37</v>
      </c>
      <c r="V2211" s="3">
        <v>16</v>
      </c>
      <c r="W2211" s="3">
        <v>1</v>
      </c>
      <c r="X2211" s="3" t="s">
        <v>403</v>
      </c>
      <c r="Y2211" s="3">
        <v>0</v>
      </c>
      <c r="Z2211" s="3">
        <v>1</v>
      </c>
      <c r="AA2211" s="3">
        <v>1</v>
      </c>
      <c r="AB2211" s="3">
        <v>1</v>
      </c>
      <c r="AC2211" s="3">
        <v>20</v>
      </c>
      <c r="AD2211" s="3">
        <v>11</v>
      </c>
      <c r="AE2211" s="3">
        <v>14</v>
      </c>
      <c r="AF2211" s="3" t="s">
        <v>0</v>
      </c>
      <c r="AG2211" s="3" t="s">
        <v>49</v>
      </c>
    </row>
  </sheetData>
  <autoFilter ref="A2:AG2"/>
  <mergeCells count="2">
    <mergeCell ref="A1:B1"/>
    <mergeCell ref="C1:G1"/>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Patentics</vt:lpstr>
      <vt:lpstr>分析库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2017-06-03T08:14:17Z</dcterms:modified>
</cp:coreProperties>
</file>