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cuments\Patentics\Txt\"/>
    </mc:Choice>
  </mc:AlternateContent>
  <bookViews>
    <workbookView xWindow="0" yWindow="0" windowWidth="25170" windowHeight="11055"/>
  </bookViews>
  <sheets>
    <sheet name="Patentics" sheetId="1" r:id="rId1"/>
    <sheet name="分析库" sheetId="2" r:id="rId2"/>
  </sheets>
  <calcPr calcId="152511"/>
</workbook>
</file>

<file path=xl/calcChain.xml><?xml version="1.0" encoding="utf-8"?>
<calcChain xmlns="http://schemas.openxmlformats.org/spreadsheetml/2006/main">
  <c r="A546" i="1" l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1" i="1"/>
</calcChain>
</file>

<file path=xl/sharedStrings.xml><?xml version="1.0" encoding="utf-8"?>
<sst xmlns="http://schemas.openxmlformats.org/spreadsheetml/2006/main" count="8738" uniqueCount="2543">
  <si>
    <t/>
  </si>
  <si>
    <t>p:ann/格力 and g/ref-s and ann/美的</t>
  </si>
  <si>
    <t>公开号</t>
  </si>
  <si>
    <t>申请号</t>
  </si>
  <si>
    <t>标题</t>
  </si>
  <si>
    <t>申请人</t>
  </si>
  <si>
    <t>标准申请人</t>
  </si>
  <si>
    <t>发明人</t>
  </si>
  <si>
    <t>第一发明人</t>
  </si>
  <si>
    <t>优先权日</t>
  </si>
  <si>
    <t>申请日</t>
  </si>
  <si>
    <t>公开日</t>
  </si>
  <si>
    <t>国际主分类</t>
  </si>
  <si>
    <t>国际分类</t>
  </si>
  <si>
    <t>专利度</t>
  </si>
  <si>
    <t>特征度</t>
  </si>
  <si>
    <t>专利类型</t>
  </si>
  <si>
    <t>优先权国家</t>
  </si>
  <si>
    <t>引用数</t>
  </si>
  <si>
    <t>自引用数</t>
  </si>
  <si>
    <t>非自引用数</t>
  </si>
  <si>
    <t>引用公司数</t>
  </si>
  <si>
    <t>被引用数</t>
  </si>
  <si>
    <t>影响因子</t>
  </si>
  <si>
    <t>被自引用</t>
  </si>
  <si>
    <t>非被自引用数</t>
  </si>
  <si>
    <t>被引用公司数</t>
  </si>
  <si>
    <t>被引用国家数</t>
  </si>
  <si>
    <t>同族数</t>
  </si>
  <si>
    <t>同族国家数</t>
  </si>
  <si>
    <t>等级</t>
  </si>
  <si>
    <t>相关度</t>
  </si>
  <si>
    <t>法律状态</t>
  </si>
  <si>
    <t>CN201210276358.8</t>
  </si>
  <si>
    <t>具有导风叶片组件的立式空调器</t>
  </si>
  <si>
    <t>广东美的制冷设备有限公司</t>
  </si>
  <si>
    <t>美的集团有限公司</t>
  </si>
  <si>
    <t>刘志强|毛先友|李向阳|李强</t>
  </si>
  <si>
    <t>刘志强</t>
  </si>
  <si>
    <t>2012/08/03</t>
  </si>
  <si>
    <t>2016/06/01</t>
  </si>
  <si>
    <t>F24F</t>
  </si>
  <si>
    <t>F24F  1/00</t>
  </si>
  <si>
    <t>授权</t>
  </si>
  <si>
    <t>CN</t>
  </si>
  <si>
    <t>0.0</t>
  </si>
  <si>
    <t>有效</t>
  </si>
  <si>
    <t>CN201020004415.3</t>
  </si>
  <si>
    <t>立式空调室内机</t>
  </si>
  <si>
    <t>珠海格力电器股份有限公司</t>
  </si>
  <si>
    <t>格力电器</t>
  </si>
  <si>
    <t>张辉|钟明生|孟宪运|丘晓宏|陈国豪</t>
  </si>
  <si>
    <t>张辉</t>
  </si>
  <si>
    <t>2010/01/10</t>
  </si>
  <si>
    <t>2011/02/09</t>
  </si>
  <si>
    <t>实用</t>
  </si>
  <si>
    <t>0.34</t>
  </si>
  <si>
    <t>无效</t>
  </si>
  <si>
    <t>CN201020168120.X</t>
  </si>
  <si>
    <t>立式空调器</t>
  </si>
  <si>
    <t>张辉|钟明生|孟宪运|丘晓宏|陈国豪|余伟铬|文超|刘明校</t>
  </si>
  <si>
    <t>2010/04/20</t>
  </si>
  <si>
    <t>2010/11/10</t>
  </si>
  <si>
    <t>0.36</t>
  </si>
  <si>
    <t>CN201020176383.5</t>
  </si>
  <si>
    <t>立式空调及其旋转闭合门结构</t>
  </si>
  <si>
    <t>张辉|钟明生|孟宪运|丘晓宏|陈国豪|余伟铬</t>
  </si>
  <si>
    <t>2010/04/23</t>
  </si>
  <si>
    <t>2010/12/15</t>
  </si>
  <si>
    <t>F24F 13/10</t>
  </si>
  <si>
    <t>CN201010201181.6</t>
  </si>
  <si>
    <t>张辉|钟明生|孟宪运|丘晓宏|陈国豪|韩义|文超|余伟铬|甄伟磊</t>
  </si>
  <si>
    <t>2010/03/22</t>
  </si>
  <si>
    <t>2010/06/04</t>
  </si>
  <si>
    <t>2011/09/28</t>
  </si>
  <si>
    <t>发明</t>
  </si>
  <si>
    <t>1.97</t>
  </si>
  <si>
    <t>CN201210236839.6</t>
  </si>
  <si>
    <t>室内空气加湿的控制方法及系统</t>
  </si>
  <si>
    <t>美的集团股份有限公司</t>
  </si>
  <si>
    <t>陈超新|张桃|刘智勇|刘国虬|向兴华|吕艳红</t>
  </si>
  <si>
    <t>陈超新</t>
  </si>
  <si>
    <t>2012/07/09</t>
  </si>
  <si>
    <t>2014/10/01</t>
  </si>
  <si>
    <t>F24F 11/00</t>
  </si>
  <si>
    <t>CN200920264284.X</t>
  </si>
  <si>
    <t>带加湿功能的空调器</t>
  </si>
  <si>
    <t>马颖江|杨洪永|梁俊杰|庄嵘</t>
  </si>
  <si>
    <t>马颖江</t>
  </si>
  <si>
    <t>2009/12/07</t>
  </si>
  <si>
    <t>2010/09/01</t>
  </si>
  <si>
    <t>F24F 11/02</t>
  </si>
  <si>
    <t>0.39</t>
  </si>
  <si>
    <t>CN200810026916.9</t>
  </si>
  <si>
    <t>空调及其控制方法</t>
  </si>
  <si>
    <t>喻耀明|岳  锐|肖德玲|袁  琪</t>
  </si>
  <si>
    <t>喻耀明</t>
  </si>
  <si>
    <t>2008/03/21</t>
  </si>
  <si>
    <t>2008/08/20</t>
  </si>
  <si>
    <t>0.41</t>
  </si>
  <si>
    <t>驳回</t>
  </si>
  <si>
    <t>CN201010108994.0</t>
  </si>
  <si>
    <t>空调器温湿度联动控制方法</t>
  </si>
  <si>
    <t>岳锐|袁琪|喻耀明</t>
  </si>
  <si>
    <t>岳锐</t>
  </si>
  <si>
    <t>2010/02/04</t>
  </si>
  <si>
    <t>2011/08/10</t>
  </si>
  <si>
    <t>1.2</t>
  </si>
  <si>
    <t>CN201120159507.3</t>
  </si>
  <si>
    <t>具有加湿功能的空调系统</t>
  </si>
  <si>
    <t>张辉|陈绍林|刘北泉|刘明校|王平</t>
  </si>
  <si>
    <t>2011/05/18</t>
  </si>
  <si>
    <t>2011/12/14</t>
  </si>
  <si>
    <t>0.8</t>
  </si>
  <si>
    <t>CN2013/089418</t>
  </si>
  <si>
    <t>Energy-saving control method and device for inverter air conditioner</t>
  </si>
  <si>
    <t>美的集团有限公司|LI,JINBO|ZENG,XIANGBING|CHEN,JIANCHANG</t>
  </si>
  <si>
    <t>美的集团有限公司|li jinbo|zeng xiangbing|chen jianchang</t>
  </si>
  <si>
    <t>LI,Jinbo|ZENG,Xiangbing|CHEN,Jianchang</t>
  </si>
  <si>
    <t>LI,Jinbo</t>
  </si>
  <si>
    <t>2013/04/02</t>
  </si>
  <si>
    <t>2013/12/13</t>
  </si>
  <si>
    <t>2014/10/09</t>
  </si>
  <si>
    <t>申请</t>
  </si>
  <si>
    <t>CN200710165123.0</t>
  </si>
  <si>
    <t>空调控制方法及空调控制装置</t>
  </si>
  <si>
    <t>马颖江|袁  琪</t>
  </si>
  <si>
    <t>2007/10/29</t>
  </si>
  <si>
    <t>2009/05/06</t>
  </si>
  <si>
    <t>1.14</t>
  </si>
  <si>
    <t>CN200510037281.9</t>
  </si>
  <si>
    <t>空调器的睡眠运行模式</t>
  </si>
  <si>
    <t>袁琪|张有林|肖德玲|成瑶|苏林</t>
  </si>
  <si>
    <t>袁琪</t>
  </si>
  <si>
    <t>2005/09/12</t>
  </si>
  <si>
    <t>2007/03/21</t>
  </si>
  <si>
    <t>4.41</t>
  </si>
  <si>
    <t>CN200910009600.3</t>
  </si>
  <si>
    <t>空调器的控制方法</t>
  </si>
  <si>
    <t>张辉|钟明生|孟宪运|梁文超|杨相稳|谢先明|李秀菲|邹云辉</t>
  </si>
  <si>
    <t>2009/02/26</t>
  </si>
  <si>
    <t>0.40</t>
  </si>
  <si>
    <t>CN201120525722.0</t>
  </si>
  <si>
    <t>空调器系统及其控制装置</t>
  </si>
  <si>
    <t>宋海川|林成霖|王灵军|郝景岩|郭文俊|陶永红|罗晓</t>
  </si>
  <si>
    <t>宋海川</t>
  </si>
  <si>
    <t>2012/10/10</t>
  </si>
  <si>
    <t>3.27</t>
  </si>
  <si>
    <t>CN201310314088.X</t>
  </si>
  <si>
    <t>空调器及防拆卸接管装置</t>
  </si>
  <si>
    <t>刘国虬|刘智勇</t>
  </si>
  <si>
    <t>刘国虬</t>
  </si>
  <si>
    <t>2013/07/24</t>
  </si>
  <si>
    <t>2016/03/16</t>
  </si>
  <si>
    <t>F16L</t>
  </si>
  <si>
    <t>F16L 13/00</t>
  </si>
  <si>
    <t>CN201120558453.8</t>
  </si>
  <si>
    <t>防拆卸管接头及空调器</t>
  </si>
  <si>
    <t>王武刚|韩鹏|谢娟|肖庆</t>
  </si>
  <si>
    <t>王武刚</t>
  </si>
  <si>
    <t>2011/12/27</t>
  </si>
  <si>
    <t>2012/08/15</t>
  </si>
  <si>
    <t>0.43</t>
  </si>
  <si>
    <t>CN201220497824.0</t>
  </si>
  <si>
    <t>管路连接组件及具有其的空调器</t>
  </si>
  <si>
    <t>肖庆|谢娟|王武刚|韩鹏</t>
  </si>
  <si>
    <t>肖庆</t>
  </si>
  <si>
    <t>2012/09/26</t>
  </si>
  <si>
    <t>2013/03/20</t>
  </si>
  <si>
    <t>F16L 15/00</t>
  </si>
  <si>
    <t>0.52</t>
  </si>
  <si>
    <t>CN201220439567.5</t>
  </si>
  <si>
    <t>分体式螺母及防拆卸连接装置及空调器</t>
  </si>
  <si>
    <t>2012/08/31</t>
  </si>
  <si>
    <t>2013/03/13</t>
  </si>
  <si>
    <t>F16B</t>
  </si>
  <si>
    <t>F16B 37/00</t>
  </si>
  <si>
    <t>0.9</t>
  </si>
  <si>
    <t>CN201310712295.0</t>
  </si>
  <si>
    <t>双缸旋转式压缩机组件及其压缩装置</t>
  </si>
  <si>
    <t>广东美芝制冷设备有限公司</t>
  </si>
  <si>
    <t>喻继江|古建新|吴多更|郑立宇</t>
  </si>
  <si>
    <t>喻继江</t>
  </si>
  <si>
    <t>2013/12/20</t>
  </si>
  <si>
    <t>2016/02/17</t>
  </si>
  <si>
    <t>F04C</t>
  </si>
  <si>
    <t>F04C 25/00</t>
  </si>
  <si>
    <t>CN201220492864.6</t>
  </si>
  <si>
    <t>双缸压缩机的中间隔板</t>
  </si>
  <si>
    <t>珠海格力电器股份有限公司|珠海凌达压缩机有限公司</t>
  </si>
  <si>
    <t>格力电器|格力电器</t>
  </si>
  <si>
    <t>禹威|黎法运|高永红|熊枝林</t>
  </si>
  <si>
    <t>禹威</t>
  </si>
  <si>
    <t>2012/09/21</t>
  </si>
  <si>
    <t>2013/05/15</t>
  </si>
  <si>
    <t>F04C 29/00</t>
  </si>
  <si>
    <t>CN201220279319.9</t>
  </si>
  <si>
    <t>一种旋转压缩机吸气结构</t>
  </si>
  <si>
    <t>刘达炜|黎法运|李旺宏|高永红|吴惠芸</t>
  </si>
  <si>
    <t>刘达炜</t>
  </si>
  <si>
    <t>2012/06/13</t>
  </si>
  <si>
    <t>2013/02/20</t>
  </si>
  <si>
    <t>F04C 29/12</t>
  </si>
  <si>
    <t>0.32</t>
  </si>
  <si>
    <t>CN201120324530.3</t>
  </si>
  <si>
    <t>一种提高气缸容积效率的压缩机</t>
  </si>
  <si>
    <t>黎法运|陈迪松|王方明|王勇|黄楷涛</t>
  </si>
  <si>
    <t>黎法运</t>
  </si>
  <si>
    <t>2011/08/31</t>
  </si>
  <si>
    <t>2012/06/06</t>
  </si>
  <si>
    <t>CN201310068721.1</t>
  </si>
  <si>
    <t>旋转式压缩机及其喷气装置</t>
  </si>
  <si>
    <t>冯利伟|张诚|喻继江</t>
  </si>
  <si>
    <t>冯利伟</t>
  </si>
  <si>
    <t>2013/03/04</t>
  </si>
  <si>
    <t>2015/12/02</t>
  </si>
  <si>
    <t>F04C 18/356</t>
  </si>
  <si>
    <t>CN201120455846.6</t>
  </si>
  <si>
    <t>具有喷气增焓功能的旋转压缩机</t>
  </si>
  <si>
    <t>合肥凌达压缩机有限公司</t>
  </si>
  <si>
    <t>杜俊律|陈炯</t>
  </si>
  <si>
    <t>杜俊律</t>
  </si>
  <si>
    <t>2011/11/17</t>
  </si>
  <si>
    <t>2012/12/05</t>
  </si>
  <si>
    <t>0.13</t>
  </si>
  <si>
    <t>CN201110300709.X</t>
  </si>
  <si>
    <t>具有喷气增焓功能的旋转式压缩机</t>
  </si>
  <si>
    <t>黎法运|杜俊律|陈迪松|王方明|王勇|黄楷涛</t>
  </si>
  <si>
    <t>2011/09/30</t>
  </si>
  <si>
    <t>2012/02/29</t>
  </si>
  <si>
    <t>CN201120344704.2</t>
  </si>
  <si>
    <t>2011/09/14</t>
  </si>
  <si>
    <t>2012/06/20</t>
  </si>
  <si>
    <t>CN201210172574.8</t>
  </si>
  <si>
    <t>加湿控制装置及其控制方法</t>
  </si>
  <si>
    <t>张桃|陈超新|刘国虬|雷远明</t>
  </si>
  <si>
    <t>张桃</t>
  </si>
  <si>
    <t>2012/05/29</t>
  </si>
  <si>
    <t>2014/12/31</t>
  </si>
  <si>
    <t>CN200910194386.3</t>
  </si>
  <si>
    <t>空调器加湿控制方法及具有加湿功能的空调器</t>
  </si>
  <si>
    <t>张辉|钟明生|宋德超|童海东</t>
  </si>
  <si>
    <t>2009/12/04</t>
  </si>
  <si>
    <t>2011/06/08</t>
  </si>
  <si>
    <t>CN201010604012.7</t>
  </si>
  <si>
    <t>立式空调器室内机的顶出风装置</t>
  </si>
  <si>
    <t>广东美的电器股份有限公司</t>
  </si>
  <si>
    <t>赵飞鹰</t>
  </si>
  <si>
    <t>2010/12/24</t>
  </si>
  <si>
    <t>2012/12/19</t>
  </si>
  <si>
    <t>CN200720057818.2</t>
  </si>
  <si>
    <t>柜式空调器室内机</t>
  </si>
  <si>
    <t>张  辉|钟明生|孟宪运|丘晓宏|刘秋华|刘明校</t>
  </si>
  <si>
    <t>张  辉</t>
  </si>
  <si>
    <t>2007/09/30</t>
  </si>
  <si>
    <t>F24F 13/12</t>
  </si>
  <si>
    <t>0.23</t>
  </si>
  <si>
    <t>CN200720053005.6</t>
  </si>
  <si>
    <t>带有排气口滑动门的柜式空调器</t>
  </si>
  <si>
    <t>张  辉|孟宪运|刘北泉|吴锦平|刘明校|刘仁东</t>
  </si>
  <si>
    <t>2007/06/19</t>
  </si>
  <si>
    <t>2008/07/30</t>
  </si>
  <si>
    <t>CN200720052902.5</t>
  </si>
  <si>
    <t>朱江洪|张  辉|钟明生|黄  辉|孟宪运|金海元|张玉忠|段华锋</t>
  </si>
  <si>
    <t>朱江洪</t>
  </si>
  <si>
    <t>2007/06/18</t>
  </si>
  <si>
    <t>2008/04/30</t>
  </si>
  <si>
    <t>1.49</t>
  </si>
  <si>
    <t>CN201220367303.3</t>
  </si>
  <si>
    <t>一种空调</t>
  </si>
  <si>
    <t>林勇强|黎文斗</t>
  </si>
  <si>
    <t>林勇强</t>
  </si>
  <si>
    <t>2012/07/27</t>
  </si>
  <si>
    <t>2013/03/27</t>
  </si>
  <si>
    <t>F24F  1/06</t>
  </si>
  <si>
    <t>CN200620111698.5</t>
  </si>
  <si>
    <t>毛刷转动式空调冷凝器清洗装置</t>
  </si>
  <si>
    <t>珠海格力电器股份有限公司|格力电器(重庆)有限公司</t>
  </si>
  <si>
    <t>陈建国|吴金赛|张高祥|严  俊</t>
  </si>
  <si>
    <t>陈建国</t>
  </si>
  <si>
    <t>2006/11/10</t>
  </si>
  <si>
    <t>2007/10/31</t>
  </si>
  <si>
    <t>F28G</t>
  </si>
  <si>
    <t>F28G  3/04</t>
  </si>
  <si>
    <t>0.17</t>
  </si>
  <si>
    <t>CN200620111699.X</t>
  </si>
  <si>
    <t>蜗轮丝杆传动的毛刷转动式空调冷凝器清洗装置</t>
  </si>
  <si>
    <t>2007/11/07</t>
  </si>
  <si>
    <t>CN200620111700.9</t>
  </si>
  <si>
    <t>电动机直接带动、毛刷转动式空调冷凝器清洗装置</t>
  </si>
  <si>
    <t>2007/11/14</t>
  </si>
  <si>
    <t>CN201310533399.5</t>
  </si>
  <si>
    <t>旋转压缩机及其气缸</t>
  </si>
  <si>
    <t>郑礼成</t>
  </si>
  <si>
    <t>2013/10/31</t>
  </si>
  <si>
    <t>2016/06/29</t>
  </si>
  <si>
    <t>CN200910138405.0</t>
  </si>
  <si>
    <t>卸荷气缸及使用该气缸的旋转压缩机</t>
  </si>
  <si>
    <t>陈  炯|范少稳|陈迪松|曹贞文|黄  云|尹秉奎|余世顺</t>
  </si>
  <si>
    <t>陈  炯</t>
  </si>
  <si>
    <t>2009/04/30</t>
  </si>
  <si>
    <t>2009/09/23</t>
  </si>
  <si>
    <t>撤回</t>
  </si>
  <si>
    <t>CN201310070339.4</t>
  </si>
  <si>
    <t>一种压缩机的吸气结构</t>
  </si>
  <si>
    <t>2013/03/05</t>
  </si>
  <si>
    <t>2013/06/26</t>
  </si>
  <si>
    <t>1.86</t>
  </si>
  <si>
    <t>CN201210256402.9</t>
  </si>
  <si>
    <t>用于空调测试运行的上电装置及其上电方法</t>
  </si>
  <si>
    <t>陈宝林|李锦鸿|聂丽辉|何峥嵘</t>
  </si>
  <si>
    <t>陈宝林</t>
  </si>
  <si>
    <t>2012/07/23</t>
  </si>
  <si>
    <t>G01R</t>
  </si>
  <si>
    <t>G01R 31/00</t>
  </si>
  <si>
    <t>CN200520059468.4</t>
  </si>
  <si>
    <t>具有快速连接测试功能的接线座以及电器连机接线装置</t>
  </si>
  <si>
    <t>张辉|陆郁|曹军辉|耿发旺|黄妃明|田文杰|陈斌|梁景洲|马波</t>
  </si>
  <si>
    <t>2005/06/09</t>
  </si>
  <si>
    <t>2006/08/02</t>
  </si>
  <si>
    <t>G01R  1/06</t>
  </si>
  <si>
    <t>1.55</t>
  </si>
  <si>
    <t>CN201020661049.9</t>
  </si>
  <si>
    <t>导线连接器</t>
  </si>
  <si>
    <t>马颖江|李广湘|唐晓晖</t>
  </si>
  <si>
    <t>H01R</t>
  </si>
  <si>
    <t>H01R  4/20</t>
  </si>
  <si>
    <t>CN201310637044.0</t>
  </si>
  <si>
    <t>分体落地式空调室内机及空调系统</t>
  </si>
  <si>
    <t>蔡序杰|吕艳红|刘阳|黎文斗|张力</t>
  </si>
  <si>
    <t>蔡序杰</t>
  </si>
  <si>
    <t>2013/12/02</t>
  </si>
  <si>
    <t>2016/05/18</t>
  </si>
  <si>
    <t>CN201220277183.8</t>
  </si>
  <si>
    <t>空调器室内机以及包括该空调器室内机的空调器</t>
  </si>
  <si>
    <t>王平|赖桂枝|韩义|刘明</t>
  </si>
  <si>
    <t>王平</t>
  </si>
  <si>
    <t>2012/06/12</t>
  </si>
  <si>
    <t>2012/12/12</t>
  </si>
  <si>
    <t>0.11</t>
  </si>
  <si>
    <t>CN201220277093.9</t>
  </si>
  <si>
    <t>王平|陈国豪</t>
  </si>
  <si>
    <t>CN201310008594.6</t>
  </si>
  <si>
    <t>制冷系统及其控制方法和具该制冷系统的空调</t>
  </si>
  <si>
    <t>黄良伟</t>
  </si>
  <si>
    <t>2013/01/09</t>
  </si>
  <si>
    <t>2016/05/11</t>
  </si>
  <si>
    <t>F25B</t>
  </si>
  <si>
    <t>F25B  1/00</t>
  </si>
  <si>
    <t>CN201110004180.7</t>
  </si>
  <si>
    <t>冷媒量控制装置和方法及具有该控制装置的空调机组</t>
  </si>
  <si>
    <t>张仕强</t>
  </si>
  <si>
    <t>2011/01/10</t>
  </si>
  <si>
    <t>2012/07/18</t>
  </si>
  <si>
    <t>F25B 49/02</t>
  </si>
  <si>
    <t>CN200910179822.X</t>
  </si>
  <si>
    <t>冷媒控制部件、空调制冷系统及冷媒循环控制方法</t>
  </si>
  <si>
    <t>2009/10/13</t>
  </si>
  <si>
    <t>2011/05/04</t>
  </si>
  <si>
    <t>F25B 49/00</t>
  </si>
  <si>
    <t>CN201410219541.3</t>
  </si>
  <si>
    <t>旋转式压缩机</t>
  </si>
  <si>
    <t>曹小军|喻继江|郭宏</t>
  </si>
  <si>
    <t>曹小军</t>
  </si>
  <si>
    <t>2014/05/22</t>
  </si>
  <si>
    <t>2016/04/20</t>
  </si>
  <si>
    <t>F04C 28/24</t>
  </si>
  <si>
    <t>CN201220296135.3</t>
  </si>
  <si>
    <t>一种压缩机用供油结构及采用该供油结构的卧式旋转压缩机</t>
  </si>
  <si>
    <t>梁健坤|廖熠</t>
  </si>
  <si>
    <t>梁健坤</t>
  </si>
  <si>
    <t>2012/06/21</t>
  </si>
  <si>
    <t>2013/06/12</t>
  </si>
  <si>
    <t>F04C 29/02</t>
  </si>
  <si>
    <t>0.27</t>
  </si>
  <si>
    <t>CN201110257584.7</t>
  </si>
  <si>
    <t>旋转式压缩机的回转支撑润滑结构</t>
  </si>
  <si>
    <t>珠海格力节能环保制冷技术研究中心有限公司</t>
  </si>
  <si>
    <t>黄建平</t>
  </si>
  <si>
    <t>2011/09/01</t>
  </si>
  <si>
    <t>CN201310134533.4</t>
  </si>
  <si>
    <t>空调器的油平衡方法</t>
  </si>
  <si>
    <t>梁自强</t>
  </si>
  <si>
    <t>2013/04/17</t>
  </si>
  <si>
    <t>2016/04/06</t>
  </si>
  <si>
    <t>F25B 31/00</t>
  </si>
  <si>
    <t>CN201220382696.5</t>
  </si>
  <si>
    <t>多联机模块化系统</t>
  </si>
  <si>
    <t>王永立|沈军|邹云霞|胡强|陈振松|王瑞强|王少山</t>
  </si>
  <si>
    <t>王永立</t>
  </si>
  <si>
    <t>2012/08/02</t>
  </si>
  <si>
    <t>2013/01/23</t>
  </si>
  <si>
    <t>CN200910037254.X</t>
  </si>
  <si>
    <t>空调装置及其压缩机油位检测方法</t>
  </si>
  <si>
    <t>沈军|苏东波|彭爱华</t>
  </si>
  <si>
    <t>沈军</t>
  </si>
  <si>
    <t>2009/02/19</t>
  </si>
  <si>
    <t>2010/08/25</t>
  </si>
  <si>
    <t>0.54</t>
  </si>
  <si>
    <t>CN201310254844.4</t>
  </si>
  <si>
    <t>压缩机</t>
  </si>
  <si>
    <t>钱灿宇</t>
  </si>
  <si>
    <t>2013/06/24</t>
  </si>
  <si>
    <t>F04B</t>
  </si>
  <si>
    <t>F04B 39/02</t>
  </si>
  <si>
    <t>CN201210208695.3</t>
  </si>
  <si>
    <t>2012/10/31</t>
  </si>
  <si>
    <t>CN201020256937.2</t>
  </si>
  <si>
    <t>一种新型电机转子的回转压缩机</t>
  </si>
  <si>
    <t>杨冬彬|谢利昌</t>
  </si>
  <si>
    <t>杨冬彬</t>
  </si>
  <si>
    <t>2010/07/13</t>
  </si>
  <si>
    <t>2011/04/06</t>
  </si>
  <si>
    <t>CN201310114430.1</t>
  </si>
  <si>
    <t>空调器的出风组件及落地式空调器</t>
  </si>
  <si>
    <t>美的集团武汉制冷设备有限公司</t>
  </si>
  <si>
    <t>杨智强</t>
  </si>
  <si>
    <t>2016/01/20</t>
  </si>
  <si>
    <t>CN200520064179.3</t>
  </si>
  <si>
    <t>分体落地式空调器</t>
  </si>
  <si>
    <t>朱江洪|张辉|黄辉|梁剑锋|李云峰|刘雁斌</t>
  </si>
  <si>
    <t>2005/09/08</t>
  </si>
  <si>
    <t>2006/09/20</t>
  </si>
  <si>
    <t>0.56</t>
  </si>
  <si>
    <t>CN200620058184.8</t>
  </si>
  <si>
    <t>朱江洪|张  辉|张玉忠</t>
  </si>
  <si>
    <t>2006/04/25</t>
  </si>
  <si>
    <t>2007/05/16</t>
  </si>
  <si>
    <t>F24F  1/02</t>
  </si>
  <si>
    <t>3.94</t>
  </si>
  <si>
    <t>CN201310215137.4</t>
  </si>
  <si>
    <t>空调室内机及其空调用独立送风部件</t>
  </si>
  <si>
    <t>李向阳|孙云良</t>
  </si>
  <si>
    <t>李向阳</t>
  </si>
  <si>
    <t>2013/05/31</t>
  </si>
  <si>
    <t>2016/01/13</t>
  </si>
  <si>
    <t>CN03223312.4</t>
  </si>
  <si>
    <t>空调器室内机</t>
  </si>
  <si>
    <t>张辉|刘雁斌|梁亚国|江华|季孝琴</t>
  </si>
  <si>
    <t>2003/01/27</t>
  </si>
  <si>
    <t>2004/03/03</t>
  </si>
  <si>
    <t>F24F  3/06</t>
  </si>
  <si>
    <t>CN201310002495.7</t>
  </si>
  <si>
    <t>空调器的进风结构及空调器</t>
  </si>
  <si>
    <t>方飞|张卫东|朱懋成|苏炳超|张健|冯海龙|云前|赵红梅|陈明瑜</t>
  </si>
  <si>
    <t>方飞</t>
  </si>
  <si>
    <t>2013/01/01</t>
  </si>
  <si>
    <t>2015/06/03</t>
  </si>
  <si>
    <t>CN200920058876.6</t>
  </si>
  <si>
    <t>空调机面板移动装置及使用该面板移动装置的空调机</t>
  </si>
  <si>
    <t>张辉|钟明生|王琳|骆海|郑和清|姚刚|陈绍林</t>
  </si>
  <si>
    <t>2009/06/22</t>
  </si>
  <si>
    <t>2010/05/05</t>
  </si>
  <si>
    <t>F24F 13/20</t>
  </si>
  <si>
    <t>CN200620063023.8</t>
  </si>
  <si>
    <t>带有吸气口滑动盖板的分体挂壁式空调器</t>
  </si>
  <si>
    <t>孟宪运|武  芳|吴欢龙</t>
  </si>
  <si>
    <t>孟宪运</t>
  </si>
  <si>
    <t>2006/08/16</t>
  </si>
  <si>
    <t>2007/09/05</t>
  </si>
  <si>
    <t>0.28</t>
  </si>
  <si>
    <t>CN201310002491.9</t>
  </si>
  <si>
    <t>空调器</t>
  </si>
  <si>
    <t>冯海龙|张卫东|朱懋成|苏炳超|云前|张健|方飞|赵红梅|陈明瑜</t>
  </si>
  <si>
    <t>冯海龙</t>
  </si>
  <si>
    <t>CN201110029116.4</t>
  </si>
  <si>
    <t>陈绍林|金海元|张力|刘明校|陈伟</t>
  </si>
  <si>
    <t>陈绍林</t>
  </si>
  <si>
    <t>2011/01/26</t>
  </si>
  <si>
    <t>2012/08/01</t>
  </si>
  <si>
    <t>CN201210226378.4</t>
  </si>
  <si>
    <t>空调器多联机系统</t>
  </si>
  <si>
    <t>黄钊|邓建云|占磊|刘纯</t>
  </si>
  <si>
    <t>黄钊</t>
  </si>
  <si>
    <t>2012/07/02</t>
  </si>
  <si>
    <t>2014/07/16</t>
  </si>
  <si>
    <t>CN200720047727.0</t>
  </si>
  <si>
    <t>带电加热的热泵热水多联空调器</t>
  </si>
  <si>
    <t>张  桃|沈  军|肖洪海|黄玉优</t>
  </si>
  <si>
    <t>张  桃</t>
  </si>
  <si>
    <t>2007/01/18</t>
  </si>
  <si>
    <t>2008/01/16</t>
  </si>
  <si>
    <t>F25B 13/00</t>
  </si>
  <si>
    <t>CN200710026952.0</t>
  </si>
  <si>
    <t>热泵热水多联空调器</t>
  </si>
  <si>
    <t>谭建明|苏玉海|熊建国|詹跃航|沈  军</t>
  </si>
  <si>
    <t>谭建明</t>
  </si>
  <si>
    <t>2007/02/10</t>
  </si>
  <si>
    <t>2008/08/13</t>
  </si>
  <si>
    <t>16.9</t>
  </si>
  <si>
    <t>CN201110138585.X</t>
  </si>
  <si>
    <t>一种使用可燃性制冷剂的空调器的控制方法</t>
  </si>
  <si>
    <t>刘振|刘智勇|杨瑞林|李廷勋</t>
  </si>
  <si>
    <t>刘振</t>
  </si>
  <si>
    <t>2011/05/26</t>
  </si>
  <si>
    <t>2013/08/28</t>
  </si>
  <si>
    <t>CN200910040621.1</t>
  </si>
  <si>
    <t>空调器及其控制方法</t>
  </si>
  <si>
    <t>珠海格力电器股份有限公司|格力电器（重庆）有限公司</t>
  </si>
  <si>
    <t>肖友元|李斌|刘畅|郭春辉</t>
  </si>
  <si>
    <t>肖友元</t>
  </si>
  <si>
    <t>2009/06/26</t>
  </si>
  <si>
    <t>2010/12/29</t>
  </si>
  <si>
    <t>CN200920265072.3</t>
  </si>
  <si>
    <t>一种空调器</t>
  </si>
  <si>
    <t>黄辉|张辉|刘知新|刘畅|郭春辉|许晨</t>
  </si>
  <si>
    <t>黄辉</t>
  </si>
  <si>
    <t>2009/12/11</t>
  </si>
  <si>
    <t>2010/09/15</t>
  </si>
  <si>
    <t>4.60</t>
  </si>
  <si>
    <t>CN201010181068.6</t>
  </si>
  <si>
    <t>旋转压缩机</t>
  </si>
  <si>
    <t>小津政雄|李华明</t>
  </si>
  <si>
    <t>小津政雄</t>
  </si>
  <si>
    <t>2010/05/17</t>
  </si>
  <si>
    <t>CN200820210090.7</t>
  </si>
  <si>
    <t>具有喷气装置的旋转式压缩机</t>
  </si>
  <si>
    <t>陈  炯|陈迪松|杜俊律|梁健坤</t>
  </si>
  <si>
    <t>2008/09/10</t>
  </si>
  <si>
    <t>2008/10/27</t>
  </si>
  <si>
    <t>2009/11/25</t>
  </si>
  <si>
    <t>F04C 18/34</t>
  </si>
  <si>
    <t>0.85</t>
  </si>
  <si>
    <t>CN200720050796.7</t>
  </si>
  <si>
    <t>陈  炯|杜俊律|周  波</t>
  </si>
  <si>
    <t>2007/04/26</t>
  </si>
  <si>
    <t>2008/02/20</t>
  </si>
  <si>
    <t>8.96</t>
  </si>
  <si>
    <t>CN201010544320.5</t>
  </si>
  <si>
    <t>太阳能空调系统的控制方法</t>
  </si>
  <si>
    <t>刘阳|李强</t>
  </si>
  <si>
    <t>刘阳</t>
  </si>
  <si>
    <t>2010/11/05</t>
  </si>
  <si>
    <t>2012/11/07</t>
  </si>
  <si>
    <t>CN200810007817.6</t>
  </si>
  <si>
    <t>太阳能驱动的空调装置及其驱动方法</t>
  </si>
  <si>
    <t>朱江洪|张  辉|钟明生|孟宪运|张玉忠|游剑波|秦  泾</t>
  </si>
  <si>
    <t>2008/02/19</t>
  </si>
  <si>
    <t>2009/08/26</t>
  </si>
  <si>
    <t>1.83</t>
  </si>
  <si>
    <t>CN200710301604.X</t>
  </si>
  <si>
    <t>正弦直流变频空调控制器及其控制方法</t>
  </si>
  <si>
    <t>张有林|梁  博|许  敏|米雪涛</t>
  </si>
  <si>
    <t>张有林</t>
  </si>
  <si>
    <t>2007/12/20</t>
  </si>
  <si>
    <t>2009/06/24</t>
  </si>
  <si>
    <t>7.64</t>
  </si>
  <si>
    <t>CN201010118839.7</t>
  </si>
  <si>
    <t>一种分体机空调器智能除霜控制方法</t>
  </si>
  <si>
    <t>陈海群|李洪涛|程志明|杨瑞林|李丰|罗敬钊</t>
  </si>
  <si>
    <t>陈海群</t>
  </si>
  <si>
    <t>2010/02/26</t>
  </si>
  <si>
    <t>2012/06/27</t>
  </si>
  <si>
    <t>0.69</t>
  </si>
  <si>
    <t>CN200410091833.X</t>
  </si>
  <si>
    <t>空调器的除霜控制方法</t>
  </si>
  <si>
    <t>张辉|陈兆祥|吴斌|杨为标|朱龙兴</t>
  </si>
  <si>
    <t>2004/12/24</t>
  </si>
  <si>
    <t>2006/07/05</t>
  </si>
  <si>
    <t>2.53</t>
  </si>
  <si>
    <t>CN02149634.X</t>
  </si>
  <si>
    <t>热泵型空调器的除霜控制方法</t>
  </si>
  <si>
    <t>吴斌|陈兆祥|姚小兵|王新</t>
  </si>
  <si>
    <t>吴斌</t>
  </si>
  <si>
    <t>2002/12/16</t>
  </si>
  <si>
    <t>2004/06/30</t>
  </si>
  <si>
    <t>F25B 47/00</t>
  </si>
  <si>
    <t>4.86</t>
  </si>
  <si>
    <t>CN200910039754.7</t>
  </si>
  <si>
    <t>一种改变空调器原有睡眠运行曲线的方法</t>
  </si>
  <si>
    <t>刘阳|毛先友|高玲</t>
  </si>
  <si>
    <t>2009/05/19</t>
  </si>
  <si>
    <t>2011/07/27</t>
  </si>
  <si>
    <t>CN200710097263.9</t>
  </si>
  <si>
    <t>按照自定义曲线运行的空调器及其控制方法</t>
  </si>
  <si>
    <t>马颖江|张有林|梁  博|米雪涛|曹  璇</t>
  </si>
  <si>
    <t>2007/04/28</t>
  </si>
  <si>
    <t>2007/09/12</t>
  </si>
  <si>
    <t>19.91</t>
  </si>
  <si>
    <t>CN200810211833.7</t>
  </si>
  <si>
    <t>控制空调器按照自定义曲线运行的方法</t>
  </si>
  <si>
    <t>2009/03/11</t>
  </si>
  <si>
    <t>CN200810029522.9</t>
  </si>
  <si>
    <t>柜式空调器前出风口开关门机构</t>
  </si>
  <si>
    <t>程竑理|舒乐华|毛先友</t>
  </si>
  <si>
    <t>程竑理</t>
  </si>
  <si>
    <t>2008/07/16</t>
  </si>
  <si>
    <t>2010/06/02</t>
  </si>
  <si>
    <t>CN200520064285.1</t>
  </si>
  <si>
    <t>朱江洪|张辉|刘雁斌|王文斌|姚刚</t>
  </si>
  <si>
    <t>2006/10/25</t>
  </si>
  <si>
    <t>CN200520066788.2</t>
  </si>
  <si>
    <t>朱江洪|张辉|王文斌|谢静|姚刚</t>
  </si>
  <si>
    <t>2005/11/04</t>
  </si>
  <si>
    <t>2006/11/29</t>
  </si>
  <si>
    <t>CN200710027906.2</t>
  </si>
  <si>
    <t>可调节输出功率的空调器</t>
  </si>
  <si>
    <t>李金波|伍光辉|程志明|钟宇</t>
  </si>
  <si>
    <t>李金波</t>
  </si>
  <si>
    <t>2009/10/28</t>
  </si>
  <si>
    <t>CN200610123002.5</t>
  </si>
  <si>
    <t>一种超低温热泵空调系统</t>
  </si>
  <si>
    <t>张  辉|黄  辉|孟宪运|刘北泉|陈  伟|文  超</t>
  </si>
  <si>
    <t>2006/10/21</t>
  </si>
  <si>
    <t>2008/04/23</t>
  </si>
  <si>
    <t>12.8</t>
  </si>
  <si>
    <t>CN200520059404.4</t>
  </si>
  <si>
    <t>一种压缩机系统</t>
  </si>
  <si>
    <t>周永平|詹跃航|孙常权</t>
  </si>
  <si>
    <t>周永平</t>
  </si>
  <si>
    <t>2005/06/01</t>
  </si>
  <si>
    <t>F04C 18/02</t>
  </si>
  <si>
    <t>CN2010/078619</t>
  </si>
  <si>
    <t>Direct current variable-frequency air conditioner with solar cell</t>
  </si>
  <si>
    <t>美的集团有限公司|广东美的电器股份有限公司 LI,HONGTAO|李洪涛 XIE,ZHIJUN|谢志君</t>
  </si>
  <si>
    <t>美的集团有限公司|广东美的电器股份有限公司 LI,Hongtao|李洪涛 XIE,ZHijun|谢志君</t>
  </si>
  <si>
    <t>LI,Hongtao|李洪涛|XIE,ZHijun|谢志君|XU,Caihui</t>
  </si>
  <si>
    <t>LI,Hongtao</t>
  </si>
  <si>
    <t>2010/02/03</t>
  </si>
  <si>
    <t>2010/11/11</t>
  </si>
  <si>
    <t>2011/08/11</t>
  </si>
  <si>
    <t>CN201520453944.4</t>
  </si>
  <si>
    <t>一种压缩机运输用底角固定件及压缩机运输固定结构</t>
  </si>
  <si>
    <t>广东美的暖通设备有限公司|美的集团股份有限公司</t>
  </si>
  <si>
    <t>美的集团有限公司|美的集团有限公司</t>
  </si>
  <si>
    <t>崔晓龙</t>
  </si>
  <si>
    <t>2015/06/26</t>
  </si>
  <si>
    <t>2015/11/18</t>
  </si>
  <si>
    <t>B65D</t>
  </si>
  <si>
    <t>B65D 59/00</t>
  </si>
  <si>
    <t>CN201210101970.1</t>
  </si>
  <si>
    <t>压缩机运输用固定件及压缩机运输固定结构</t>
  </si>
  <si>
    <t>莫培山|何国军|曹勇</t>
  </si>
  <si>
    <t>莫培山</t>
  </si>
  <si>
    <t>2012/04/09</t>
  </si>
  <si>
    <t>2013/10/23</t>
  </si>
  <si>
    <t>B65D 61/00</t>
  </si>
  <si>
    <t>0.46</t>
  </si>
  <si>
    <t>CN201120262549.X</t>
  </si>
  <si>
    <t>压缩机固定结构及具有该压缩机固定结构的空调器</t>
  </si>
  <si>
    <t>刘莹</t>
  </si>
  <si>
    <t>2011/07/22</t>
  </si>
  <si>
    <t>2012/02/08</t>
  </si>
  <si>
    <t>F04B 39/00</t>
  </si>
  <si>
    <t>1.64</t>
  </si>
  <si>
    <t>CN201520148527.9</t>
  </si>
  <si>
    <t>一种压缩机运输用固定件及压缩机运输结构</t>
  </si>
  <si>
    <t>蔺勇智|靳二兵</t>
  </si>
  <si>
    <t>蔺勇智</t>
  </si>
  <si>
    <t>2015/03/16</t>
  </si>
  <si>
    <t>2015/08/26</t>
  </si>
  <si>
    <t>B65D 85/68</t>
  </si>
  <si>
    <t>CN201420122916.X</t>
  </si>
  <si>
    <t>具有加湿功能的空调器</t>
  </si>
  <si>
    <t>钟志尧</t>
  </si>
  <si>
    <t>2014/03/18</t>
  </si>
  <si>
    <t>2014/09/03</t>
  </si>
  <si>
    <t>F24F  6/16</t>
  </si>
  <si>
    <t>CN200810220258.7</t>
  </si>
  <si>
    <t>一种空调加湿装置及使用该加湿装置的空调器</t>
  </si>
  <si>
    <t>张辉|钟明生|孟宪运|刘北泉|王朝新|肖林辉</t>
  </si>
  <si>
    <t>2008/12/18</t>
  </si>
  <si>
    <t>2010/06/23</t>
  </si>
  <si>
    <t>F24F  6/10</t>
  </si>
  <si>
    <t>1.3</t>
  </si>
  <si>
    <t>CN201220167255.3</t>
  </si>
  <si>
    <t>空调加湿器及具有其的空调器</t>
  </si>
  <si>
    <t>雷新建|张正甫</t>
  </si>
  <si>
    <t>雷新建</t>
  </si>
  <si>
    <t>2012/04/18</t>
  </si>
  <si>
    <t>2013/01/16</t>
  </si>
  <si>
    <t>F24F 13/00</t>
  </si>
  <si>
    <t>CN201410184218.7</t>
  </si>
  <si>
    <t>空调控制器自动测试系统及其测试方法</t>
  </si>
  <si>
    <t>广东美的集团芜湖制冷设备有限公司</t>
  </si>
  <si>
    <t>梁贰武|刘高扬</t>
  </si>
  <si>
    <t>梁贰武</t>
  </si>
  <si>
    <t>2014/05/04</t>
  </si>
  <si>
    <t>2017/01/11</t>
  </si>
  <si>
    <t>G05B</t>
  </si>
  <si>
    <t>G05B 23/02</t>
  </si>
  <si>
    <t>CN200610036694.X</t>
  </si>
  <si>
    <t>空调控制器自动测试装置及测试方法</t>
  </si>
  <si>
    <t>金  钢|仇万金|姚小兵|黎炳坤|宋明芩|胡美芳|蔡小洪</t>
  </si>
  <si>
    <t>金  钢</t>
  </si>
  <si>
    <t>2006/07/26</t>
  </si>
  <si>
    <t>2008/01/30</t>
  </si>
  <si>
    <t>G01M</t>
  </si>
  <si>
    <t>G01M 19/00</t>
  </si>
  <si>
    <t>2.81</t>
  </si>
  <si>
    <t>CN201410118086.8</t>
  </si>
  <si>
    <t>钟志尧|陈俊|罗凌</t>
  </si>
  <si>
    <t>2014/03/26</t>
  </si>
  <si>
    <t>2016/12/07</t>
  </si>
  <si>
    <t>CN201010563281.3</t>
  </si>
  <si>
    <t>张辉|陈绍林|孟宪运|丘晓宏|陈国豪|文超|肖林辉|孙良</t>
  </si>
  <si>
    <t>2010/11/26</t>
  </si>
  <si>
    <t>2012/05/30</t>
  </si>
  <si>
    <t>2.7</t>
  </si>
  <si>
    <t>CN201310135013.5</t>
  </si>
  <si>
    <t>变频空调器及提高其运行总能效的节能控制方法</t>
  </si>
  <si>
    <t>戚文端|李金波|叶晓龙</t>
  </si>
  <si>
    <t>戚文端</t>
  </si>
  <si>
    <t>2016/11/16</t>
  </si>
  <si>
    <t>CN200910192706.1</t>
  </si>
  <si>
    <t>变频空调器的控制方法</t>
  </si>
  <si>
    <t>黄辉|马颖江|张有林|庄嵘|梁俊杰</t>
  </si>
  <si>
    <t>2009/09/25</t>
  </si>
  <si>
    <t>2011/04/27</t>
  </si>
  <si>
    <t>3.14</t>
  </si>
  <si>
    <t>CN201310247985.3</t>
  </si>
  <si>
    <t>出风口导风结构、空调器及空调器的控制方法</t>
  </si>
  <si>
    <t>华龙|岳宝|吕艳红</t>
  </si>
  <si>
    <t>华龙</t>
  </si>
  <si>
    <t>2013/06/20</t>
  </si>
  <si>
    <t>2016/11/02</t>
  </si>
  <si>
    <t>CN200910130311.9</t>
  </si>
  <si>
    <t>分体挂壁式空调器导风板及控制方法以及空调器</t>
  </si>
  <si>
    <t>张辉|钟明生|叶务占|韩鹏|张华中</t>
  </si>
  <si>
    <t>2009/03/26</t>
  </si>
  <si>
    <t>2010/09/29</t>
  </si>
  <si>
    <t>CN201410199664.5</t>
  </si>
  <si>
    <t>空调器及其的控制方法</t>
  </si>
  <si>
    <t>邯郸美的制冷设备有限公司|美的集团武汉制冷设备有限公司</t>
  </si>
  <si>
    <t>张武军|陈建昌</t>
  </si>
  <si>
    <t>张武军</t>
  </si>
  <si>
    <t>2014/05/13</t>
  </si>
  <si>
    <t>2016/10/26</t>
  </si>
  <si>
    <t>F24F 11/04</t>
  </si>
  <si>
    <t>CN200810185769.X</t>
  </si>
  <si>
    <t>模拟自然风的装置和方法</t>
  </si>
  <si>
    <t>马颖江|张有林|赵天光|廖承喜|喻耀明|袁琪</t>
  </si>
  <si>
    <t>2008/12/10</t>
  </si>
  <si>
    <t>1.53</t>
  </si>
  <si>
    <t>CN201310184792.8</t>
  </si>
  <si>
    <t>空调器的除霜方法</t>
  </si>
  <si>
    <t>广东美的集团芜湖制冷设备有限公司|美的集团股份有限公司</t>
  </si>
  <si>
    <t>李炜征|文邦春|吴加生</t>
  </si>
  <si>
    <t>李炜征</t>
  </si>
  <si>
    <t>2013/05/17</t>
  </si>
  <si>
    <t>2016/09/14</t>
  </si>
  <si>
    <t>F25B 47/02</t>
  </si>
  <si>
    <t>CN201410232548.9</t>
  </si>
  <si>
    <t>空调系统及其控制方法</t>
  </si>
  <si>
    <t>张浩|谭周衡</t>
  </si>
  <si>
    <t>张浩</t>
  </si>
  <si>
    <t>2014/05/28</t>
  </si>
  <si>
    <t>2016/08/17</t>
  </si>
  <si>
    <t>CN200710026862.1</t>
  </si>
  <si>
    <t>空调控制系统及方法</t>
  </si>
  <si>
    <t>马颖江|金  钢|曾  亮|余锐生</t>
  </si>
  <si>
    <t>2007/02/09</t>
  </si>
  <si>
    <t>2.42</t>
  </si>
  <si>
    <t>CN201410134420.9</t>
  </si>
  <si>
    <t>空调器及其闪蒸器</t>
  </si>
  <si>
    <t>广东美的制冷设备有限公司|广东美的集团芜湖制冷设备有限公司</t>
  </si>
  <si>
    <t>晏飞|杜京昌</t>
  </si>
  <si>
    <t>晏飞</t>
  </si>
  <si>
    <t>2014/04/03</t>
  </si>
  <si>
    <t>F25B 43/00</t>
  </si>
  <si>
    <t>CN201210141303.6</t>
  </si>
  <si>
    <t>双向闪蒸器及包括该闪蒸器的空调</t>
  </si>
  <si>
    <t>韩义|梁东旭</t>
  </si>
  <si>
    <t>韩义</t>
  </si>
  <si>
    <t>2012/05/08</t>
  </si>
  <si>
    <t>2013/11/13</t>
  </si>
  <si>
    <t>CN201410129986.2</t>
  </si>
  <si>
    <t>风冷热泵机组</t>
  </si>
  <si>
    <t>李钱生</t>
  </si>
  <si>
    <t>2014/04/01</t>
  </si>
  <si>
    <t>CN200510101708.7</t>
  </si>
  <si>
    <t>低温空调热泵系统及使用该系统降低温度调节波动的方法</t>
  </si>
  <si>
    <t>苏玉海|刘桂平|孙常权</t>
  </si>
  <si>
    <t>苏玉海</t>
  </si>
  <si>
    <t>2005/11/25</t>
  </si>
  <si>
    <t>2006/07/12</t>
  </si>
  <si>
    <t>3.46</t>
  </si>
  <si>
    <t>CN201210438853.4</t>
  </si>
  <si>
    <t>一种空调器运行控制方法及系统</t>
  </si>
  <si>
    <t>郭新生|张智|刘锦泉</t>
  </si>
  <si>
    <t>郭新生</t>
  </si>
  <si>
    <t>2012/11/06</t>
  </si>
  <si>
    <t>CN201310362796.0</t>
  </si>
  <si>
    <t>电风扇及电风扇的控制方法</t>
  </si>
  <si>
    <t>广东美的环境电器制造有限公司|美的集团股份有限公司</t>
  </si>
  <si>
    <t>李益爱|车玉明|骆建立</t>
  </si>
  <si>
    <t>李益爱</t>
  </si>
  <si>
    <t>2013/08/19</t>
  </si>
  <si>
    <t>2016/08/10</t>
  </si>
  <si>
    <t>F04D</t>
  </si>
  <si>
    <t>F04D 27/00</t>
  </si>
  <si>
    <t>CN201110219985.3</t>
  </si>
  <si>
    <t>无级调速电风扇及其控制方法</t>
  </si>
  <si>
    <t>格力电器（中山）小家电制造有限公司|珠海格力电器股份有限公司</t>
  </si>
  <si>
    <t>钟石刚</t>
  </si>
  <si>
    <t>2011/08/02</t>
  </si>
  <si>
    <t>2011/12/21</t>
  </si>
  <si>
    <t>1.38</t>
  </si>
  <si>
    <t>CN201410133624.0</t>
  </si>
  <si>
    <t>豆浆机的控制方法、控制系统和豆浆机</t>
  </si>
  <si>
    <t>广东美的生活电器制造有限公司|美的集团股份有限公司</t>
  </si>
  <si>
    <t>陈炜杰|朱国军|尹坤任|俞晓明</t>
  </si>
  <si>
    <t>陈炜杰</t>
  </si>
  <si>
    <t>2016/07/13</t>
  </si>
  <si>
    <t>A47J</t>
  </si>
  <si>
    <t>A47J 31/00</t>
  </si>
  <si>
    <t>CN201210153071.6</t>
  </si>
  <si>
    <t>豆浆制作的控制方法和豆浆机及豆腐的制作方法和豆腐机</t>
  </si>
  <si>
    <t>温文杰|张欢</t>
  </si>
  <si>
    <t>温文杰</t>
  </si>
  <si>
    <t>2012/05/16</t>
  </si>
  <si>
    <t>2013/12/04</t>
  </si>
  <si>
    <t>G05D</t>
  </si>
  <si>
    <t>G05D 23/30</t>
  </si>
  <si>
    <t>CN201410699265.5</t>
  </si>
  <si>
    <t>发热体的固定装置及对流式取暖器</t>
  </si>
  <si>
    <t>温嘉彬</t>
  </si>
  <si>
    <t>2014/11/26</t>
  </si>
  <si>
    <t>2016/07/06</t>
  </si>
  <si>
    <t>H05B</t>
  </si>
  <si>
    <t>H05B  3/06</t>
  </si>
  <si>
    <t>CN200920292630.5</t>
  </si>
  <si>
    <t>一种电暖器及其电器盒</t>
  </si>
  <si>
    <t>张毅|林玉娜|廖泓斌|王红兵|陈小玲</t>
  </si>
  <si>
    <t>张毅</t>
  </si>
  <si>
    <t>2009/12/21</t>
  </si>
  <si>
    <t>H05K</t>
  </si>
  <si>
    <t>H05K  5/00</t>
  </si>
  <si>
    <t>CN201410149345.3</t>
  </si>
  <si>
    <t>控制设备和控制方法</t>
  </si>
  <si>
    <t>谭斌|夏瑞|钟梓雄</t>
  </si>
  <si>
    <t>谭斌</t>
  </si>
  <si>
    <t>2014/04/14</t>
  </si>
  <si>
    <t>CN201220205680.7</t>
  </si>
  <si>
    <t>空调系统的控制载体</t>
  </si>
  <si>
    <t>冯国庆|张辉|陈绍林|叶务占|李文灿</t>
  </si>
  <si>
    <t>冯国庆</t>
  </si>
  <si>
    <t>CN201410098663.1</t>
  </si>
  <si>
    <t>冷媒泄漏检测方法、冷媒泄漏检测系统和空调器</t>
  </si>
  <si>
    <t>李大振</t>
  </si>
  <si>
    <t>2014/03/14</t>
  </si>
  <si>
    <t>G01M  3/40</t>
  </si>
  <si>
    <t>CN201320031167.5</t>
  </si>
  <si>
    <t>庄嵘|李欣|窦海洋|李冰</t>
  </si>
  <si>
    <t>庄嵘</t>
  </si>
  <si>
    <t>2013/01/21</t>
  </si>
  <si>
    <t>1.25</t>
  </si>
  <si>
    <t>CN201410007604.9</t>
  </si>
  <si>
    <t>用于旋转式压缩机的电机及具有该电机的旋转式压缩机</t>
  </si>
  <si>
    <t>左正发|薛玮飞|朱斌生</t>
  </si>
  <si>
    <t>左正发</t>
  </si>
  <si>
    <t>2014/01/07</t>
  </si>
  <si>
    <t>H02K</t>
  </si>
  <si>
    <t>H02K  1/22</t>
  </si>
  <si>
    <t>CN200820205314.5</t>
  </si>
  <si>
    <t>一种电机转子结构</t>
  </si>
  <si>
    <t>胡余生|陈东锁|梁吉玉|陈  彬</t>
  </si>
  <si>
    <t>胡余生</t>
  </si>
  <si>
    <t>2008/12/16</t>
  </si>
  <si>
    <t>2009/09/30</t>
  </si>
  <si>
    <t>3.26</t>
  </si>
  <si>
    <t>CN201310134411.5</t>
  </si>
  <si>
    <t>单冷型空调器和冷暖型空调器</t>
  </si>
  <si>
    <t>广州华凌制冷设备有限公司|美的集团股份有限公司</t>
  </si>
  <si>
    <t>李金波|韩宇|叶晓龙|冯博</t>
  </si>
  <si>
    <t>CN201020026869.0</t>
  </si>
  <si>
    <t>带散热功能的空调机</t>
  </si>
  <si>
    <t>李林</t>
  </si>
  <si>
    <t>2010/01/15</t>
  </si>
  <si>
    <t>2010/12/08</t>
  </si>
  <si>
    <t>H02M</t>
  </si>
  <si>
    <t>H02M  1/00</t>
  </si>
  <si>
    <t>1.84</t>
  </si>
  <si>
    <t>CN201210311636.9</t>
  </si>
  <si>
    <t>空调室内机</t>
  </si>
  <si>
    <t>毛先友|刘阳|万明|夏小邓</t>
  </si>
  <si>
    <t>毛先友</t>
  </si>
  <si>
    <t>2012/08/28</t>
  </si>
  <si>
    <t>CN201020569889.2</t>
  </si>
  <si>
    <t>空调室内机及其所用壳体</t>
  </si>
  <si>
    <t>杨洪永</t>
  </si>
  <si>
    <t>2010/10/21</t>
  </si>
  <si>
    <t>2011/06/01</t>
  </si>
  <si>
    <t>1.31</t>
  </si>
  <si>
    <t>CN201310713961.2</t>
  </si>
  <si>
    <t>蒸发式冷风扇</t>
  </si>
  <si>
    <t>广东美的环境电器制造有限公司</t>
  </si>
  <si>
    <t>陈毅|黄诚|郑传亮|雷建国|彭波涛|刘建伟</t>
  </si>
  <si>
    <t>陈毅</t>
  </si>
  <si>
    <t>2013/12/19</t>
  </si>
  <si>
    <t>2016/06/22</t>
  </si>
  <si>
    <t>F24F  5/00</t>
  </si>
  <si>
    <t>CN200920059340.6</t>
  </si>
  <si>
    <t>李曙光|汪安理|何志威|姜莉</t>
  </si>
  <si>
    <t>李曙光</t>
  </si>
  <si>
    <t>2009/06/29</t>
  </si>
  <si>
    <t>CN201310090756.5</t>
  </si>
  <si>
    <t>压力锅锅盖和具有它的电压力锅</t>
  </si>
  <si>
    <t>萧展锋</t>
  </si>
  <si>
    <t>A47J 27/08</t>
  </si>
  <si>
    <t>CN201120400795.7</t>
  </si>
  <si>
    <t>压力锅及限压阀</t>
  </si>
  <si>
    <t>黄辉|王彤|杨勇|李丹|邱敏|李锦彬</t>
  </si>
  <si>
    <t>2011/10/19</t>
  </si>
  <si>
    <t>A47J 27/09</t>
  </si>
  <si>
    <t>CN201410027428.5</t>
  </si>
  <si>
    <t>空调无线控制器、系统及其控制方法</t>
  </si>
  <si>
    <t>2014/01/21</t>
  </si>
  <si>
    <t>2016/06/15</t>
  </si>
  <si>
    <t>CN201010214196.6</t>
  </si>
  <si>
    <t>监控空调机组的系统和方法</t>
  </si>
  <si>
    <t>牟桂贤|王灵军|宋海川|李澎|梁成就|成家聪|冯宇杰|林成霖|喻胜伟|冯燕辉|邵于宁|陈东亮</t>
  </si>
  <si>
    <t>牟桂贤</t>
  </si>
  <si>
    <t>2010/06/24</t>
  </si>
  <si>
    <t>2011/12/28</t>
  </si>
  <si>
    <t>CN201310511798.1</t>
  </si>
  <si>
    <t>空调器及其控制方法、控制终端、空调器系统</t>
  </si>
  <si>
    <t>刘阳|陈建昌</t>
  </si>
  <si>
    <t>2013/10/25</t>
  </si>
  <si>
    <t>CN201110198335.5</t>
  </si>
  <si>
    <t>空调运行状态的自动监控系统及自动监控方法</t>
  </si>
  <si>
    <t>于华平</t>
  </si>
  <si>
    <t>2011/07/15</t>
  </si>
  <si>
    <t>CN201310205746.1</t>
  </si>
  <si>
    <t>多风档转速控制方法及装置</t>
  </si>
  <si>
    <t>广东美的制冷设备有限公司|美的集团股份有限公司</t>
  </si>
  <si>
    <t>李勇|林森荣|林竹|廖潮斌|桂大发</t>
  </si>
  <si>
    <t>李勇</t>
  </si>
  <si>
    <t>2013/05/28</t>
  </si>
  <si>
    <t>CN201220079902.5</t>
  </si>
  <si>
    <t>空调器及其风速控制装置</t>
  </si>
  <si>
    <t>胡宋坡|拾蕾|文武|柏昊|任鹏|盛光有</t>
  </si>
  <si>
    <t>胡宋坡</t>
  </si>
  <si>
    <t>2012/03/05</t>
  </si>
  <si>
    <t>2013/01/30</t>
  </si>
  <si>
    <t>0.58</t>
  </si>
  <si>
    <t>CN201210541295.4</t>
  </si>
  <si>
    <t>电子膨胀阀精细调节控制方法及系统</t>
  </si>
  <si>
    <t>刘清泉|占磊</t>
  </si>
  <si>
    <t>刘清泉</t>
  </si>
  <si>
    <t>2012/12/13</t>
  </si>
  <si>
    <t>CN200710187388.0</t>
  </si>
  <si>
    <t>电子膨胀阀的控制方法、热泵装置自适应控制方法及装置</t>
  </si>
  <si>
    <t>柳  飞|庄  嵘|肖洪海</t>
  </si>
  <si>
    <t>柳  飞</t>
  </si>
  <si>
    <t>2007/11/27</t>
  </si>
  <si>
    <t>2009/06/03</t>
  </si>
  <si>
    <t>10.67</t>
  </si>
  <si>
    <t>CN201310326863.3</t>
  </si>
  <si>
    <t>空调室内机、应用的空调器及其控制方法</t>
  </si>
  <si>
    <t>闫长林</t>
  </si>
  <si>
    <t>2013/07/30</t>
  </si>
  <si>
    <t>2016/06/08</t>
  </si>
  <si>
    <t>CN201220712853.4</t>
  </si>
  <si>
    <t>空调器室内机及具有其的空调器</t>
  </si>
  <si>
    <t>陈绍林|杨检群|杨杰|刘秋华|安智|罗镇雄|吴俊鸿|李松|吴霞|吴少波|王平</t>
  </si>
  <si>
    <t>2012/12/20</t>
  </si>
  <si>
    <t>CN201310269629.1</t>
  </si>
  <si>
    <t>一种变频空调及其控制系统和方法</t>
  </si>
  <si>
    <t>谭周衡</t>
  </si>
  <si>
    <t>2013/06/28</t>
  </si>
  <si>
    <t>CN201410068204.9</t>
  </si>
  <si>
    <t>双面进出风空调</t>
  </si>
  <si>
    <t>方康乐</t>
  </si>
  <si>
    <t>2014/02/26</t>
  </si>
  <si>
    <t>CN201320062058.X</t>
  </si>
  <si>
    <t>双贯流风轮风机组件</t>
  </si>
  <si>
    <t>杨勇|郭润明|李曙光</t>
  </si>
  <si>
    <t>杨勇</t>
  </si>
  <si>
    <t>2013/02/01</t>
  </si>
  <si>
    <t>2013/09/04</t>
  </si>
  <si>
    <t>F04D 25/08</t>
  </si>
  <si>
    <t>CN201410026002.8</t>
  </si>
  <si>
    <t>烹饪器具的上盖和烹饪器具</t>
  </si>
  <si>
    <t>美的集团股份有限公司|佛山市顺德区美的电热电器制造有限公司</t>
  </si>
  <si>
    <t>郑秀谦|邱永锋|罗志晓|杨保民|袁伟</t>
  </si>
  <si>
    <t>郑秀谦</t>
  </si>
  <si>
    <t>2014/01/20</t>
  </si>
  <si>
    <t>A47J 36/10</t>
  </si>
  <si>
    <t>CN201220443327.2</t>
  </si>
  <si>
    <t>电饭煲开盖结构</t>
  </si>
  <si>
    <t>陈冬冬|廖泓斌|王红兵|胡玉新|梁锡建|赵心武|吕鹏飞</t>
  </si>
  <si>
    <t>陈冬冬</t>
  </si>
  <si>
    <t>2013/06/05</t>
  </si>
  <si>
    <t>A47J 36/12</t>
  </si>
  <si>
    <t>CN201310015421.7</t>
  </si>
  <si>
    <t>防烫水龙头及饮水机</t>
  </si>
  <si>
    <t>美的集团股份有限公司|佛山市顺德区美的饮水机制造有限公司</t>
  </si>
  <si>
    <t>张国|张军鹏|马龙</t>
  </si>
  <si>
    <t>张国</t>
  </si>
  <si>
    <t>2013/01/15</t>
  </si>
  <si>
    <t>A47J 31/46</t>
  </si>
  <si>
    <t>CN201010282971.1</t>
  </si>
  <si>
    <t>李曙光|陈斌|张文宁</t>
  </si>
  <si>
    <t>2010/09/14</t>
  </si>
  <si>
    <t>2012/04/04</t>
  </si>
  <si>
    <t>F16K</t>
  </si>
  <si>
    <t>F16K 35/10</t>
  </si>
  <si>
    <t>0.4</t>
  </si>
  <si>
    <t>CN201110326558.5</t>
  </si>
  <si>
    <t>空调器预约运行的控制方法</t>
  </si>
  <si>
    <t>陈多聪|易万权|姜凤华</t>
  </si>
  <si>
    <t>陈多聪</t>
  </si>
  <si>
    <t>2011/10/25</t>
  </si>
  <si>
    <t>CN201010111986.1</t>
  </si>
  <si>
    <t>空调定时预约方法</t>
  </si>
  <si>
    <t>张辉|钟明生|宋德超|陈志强|金德武</t>
  </si>
  <si>
    <t>2010/02/08</t>
  </si>
  <si>
    <t>CN201110318973.6</t>
  </si>
  <si>
    <t>平行流换热器及其制作方法</t>
  </si>
  <si>
    <t>刘阳|李强|佐藤宪一郎</t>
  </si>
  <si>
    <t>F25B 39/00</t>
  </si>
  <si>
    <t>CN201020517314.6</t>
  </si>
  <si>
    <t>集流管及具有该集流管的换热器</t>
  </si>
  <si>
    <t>邢淑敏|梁祥飞|尹茜</t>
  </si>
  <si>
    <t>邢淑敏</t>
  </si>
  <si>
    <t>2011/06/22</t>
  </si>
  <si>
    <t>F28F</t>
  </si>
  <si>
    <t>F28F  9/02</t>
  </si>
  <si>
    <t>3.1</t>
  </si>
  <si>
    <t>CN201410111061.5</t>
  </si>
  <si>
    <t>一种PCB板上插件焊接工艺及焊接载具</t>
  </si>
  <si>
    <t>张文富|郑君华|龚胜扬|蓝海</t>
  </si>
  <si>
    <t>张文富</t>
  </si>
  <si>
    <t>2014/03/24</t>
  </si>
  <si>
    <t>2016/05/25</t>
  </si>
  <si>
    <t>B23K</t>
  </si>
  <si>
    <t>B23K  1/08</t>
  </si>
  <si>
    <t>CN201110255797.6</t>
  </si>
  <si>
    <t>用于波峰焊的工艺装备及波峰焊的工艺方法</t>
  </si>
  <si>
    <t>陈斌|张辉|钟明生</t>
  </si>
  <si>
    <t>陈斌</t>
  </si>
  <si>
    <t>H05K  3/34</t>
  </si>
  <si>
    <t>CN201410631334.9</t>
  </si>
  <si>
    <t>压缩机频率的控制方法、压缩机频率的控制装置和空调器</t>
  </si>
  <si>
    <t>王育强|李文博</t>
  </si>
  <si>
    <t>王育强</t>
  </si>
  <si>
    <t>2014/11/07</t>
  </si>
  <si>
    <t>F04B 49/00</t>
  </si>
  <si>
    <t>CN201410262421.1</t>
  </si>
  <si>
    <t>热泵系统的压缩机的启动方法和热水机组</t>
  </si>
  <si>
    <t>饶荣水</t>
  </si>
  <si>
    <t>2014/06/13</t>
  </si>
  <si>
    <t>2016/04/27</t>
  </si>
  <si>
    <t>F04B 49/02</t>
  </si>
  <si>
    <t>CN201210165858.4</t>
  </si>
  <si>
    <t>空调器及空调器的错峰启动的控制方法</t>
  </si>
  <si>
    <t>陈志强</t>
  </si>
  <si>
    <t>2012/05/24</t>
  </si>
  <si>
    <t>CN201310441489.1</t>
  </si>
  <si>
    <t>按键、按键的安装结构及滚筒洗衣机</t>
  </si>
  <si>
    <t>无锡小天鹅股份有限公司</t>
  </si>
  <si>
    <t>李碧荣|侯永国</t>
  </si>
  <si>
    <t>李碧荣</t>
  </si>
  <si>
    <t>2013/09/25</t>
  </si>
  <si>
    <t>D06F</t>
  </si>
  <si>
    <t>D06F 39/00</t>
  </si>
  <si>
    <t>CN201020027224.9</t>
  </si>
  <si>
    <t>一种按键的密封结构</t>
  </si>
  <si>
    <t>唐建辉|王红兵|陈小玲|廖泓斌|袁志勇</t>
  </si>
  <si>
    <t>唐建辉</t>
  </si>
  <si>
    <t>2010/01/21</t>
  </si>
  <si>
    <t>2010/11/03</t>
  </si>
  <si>
    <t>H01H</t>
  </si>
  <si>
    <t>H01H 13/02</t>
  </si>
  <si>
    <t>3.67</t>
  </si>
  <si>
    <t>CN201310473535.6</t>
  </si>
  <si>
    <t>黄水松</t>
  </si>
  <si>
    <t>2013/10/11</t>
  </si>
  <si>
    <t>F04C 23/00</t>
  </si>
  <si>
    <t>CN201220655565.X</t>
  </si>
  <si>
    <t>压缩机及具有其的制冷系统</t>
  </si>
  <si>
    <t>刘强|梁社兵|杨国蟒|徐嘉|邓丽颖</t>
  </si>
  <si>
    <t>刘强</t>
  </si>
  <si>
    <t>2012/11/30</t>
  </si>
  <si>
    <t>2013/05/22</t>
  </si>
  <si>
    <t>CN201210369458.5</t>
  </si>
  <si>
    <t>模块式多联机及其制冷时冷媒均匀分配的控制方法</t>
  </si>
  <si>
    <t>广东美的暖通设备有限公司</t>
  </si>
  <si>
    <t>杨元涛|熊美兵|许永锋|梁泽坤|任林行</t>
  </si>
  <si>
    <t>杨元涛</t>
  </si>
  <si>
    <t>2012/09/27</t>
  </si>
  <si>
    <t>2016/04/13</t>
  </si>
  <si>
    <t>CN200910041723.5</t>
  </si>
  <si>
    <t>模块化多联机组及其冷冻机油均衡控制方法</t>
  </si>
  <si>
    <t>张龙|刘煜|宋培刚|黄春|张仕强|武连发|王成</t>
  </si>
  <si>
    <t>张龙</t>
  </si>
  <si>
    <t>2009/08/07</t>
  </si>
  <si>
    <t>2011/03/23</t>
  </si>
  <si>
    <t>0.47</t>
  </si>
  <si>
    <t>CN201310435798.8</t>
  </si>
  <si>
    <t>防止压缩机退磁的方法</t>
  </si>
  <si>
    <t>广东美芝精密制造有限公司</t>
  </si>
  <si>
    <t>任新杰|李玉杰</t>
  </si>
  <si>
    <t>任新杰</t>
  </si>
  <si>
    <t>2013/09/23</t>
  </si>
  <si>
    <t>H02P</t>
  </si>
  <si>
    <t>H02P 21/14</t>
  </si>
  <si>
    <t>CN201220064213.7</t>
  </si>
  <si>
    <t>压缩机退磁保护电路和空调器</t>
  </si>
  <si>
    <t>郑长春|卓森庆|游剑波|黄滔</t>
  </si>
  <si>
    <t>郑长春</t>
  </si>
  <si>
    <t>2012/02/24</t>
  </si>
  <si>
    <t>2012/09/05</t>
  </si>
  <si>
    <t>H02H</t>
  </si>
  <si>
    <t>H02H  7/08</t>
  </si>
  <si>
    <t>0.82</t>
  </si>
  <si>
    <t>CN201310309762.5</t>
  </si>
  <si>
    <t>潘雯</t>
  </si>
  <si>
    <t>2013/07/22</t>
  </si>
  <si>
    <t>CN201220245128.0</t>
  </si>
  <si>
    <t>旋转式双缸压缩机泵体固定组件及旋转式双缸压缩机</t>
  </si>
  <si>
    <t>李志鹏|王伟|余冰</t>
  </si>
  <si>
    <t>李志鹏</t>
  </si>
  <si>
    <t>2012/05/28</t>
  </si>
  <si>
    <t>2013/02/13</t>
  </si>
  <si>
    <t>CN201310144114.9</t>
  </si>
  <si>
    <t>豆浆机和用豆浆机制备豆浆的方法</t>
  </si>
  <si>
    <t>陈炜杰|杨伸其|李小金|黄桂团|尹坤任|吴明川|黄乐卓|俞晓明</t>
  </si>
  <si>
    <t>2013/04/23</t>
  </si>
  <si>
    <t>2016/03/30</t>
  </si>
  <si>
    <t>A23C</t>
  </si>
  <si>
    <t>A23C 11/10</t>
  </si>
  <si>
    <t>CN201220089570.9</t>
  </si>
  <si>
    <t>食品料理机</t>
  </si>
  <si>
    <t>黄辉|王彤|杨勇|覃德华|曾华|梁少棠</t>
  </si>
  <si>
    <t>2012/03/09</t>
  </si>
  <si>
    <t>2012/10/03</t>
  </si>
  <si>
    <t>A47J 43/044</t>
  </si>
  <si>
    <t>CN201210570242.5</t>
  </si>
  <si>
    <t>易万权|张浩|周诗然</t>
  </si>
  <si>
    <t>易万权</t>
  </si>
  <si>
    <t>2012/12/24</t>
  </si>
  <si>
    <t>F25B 41/04</t>
  </si>
  <si>
    <t>CN201120010139.6</t>
  </si>
  <si>
    <t>冷媒量控制装置及具有该控制装置的空调机组</t>
  </si>
  <si>
    <t>2011/08/24</t>
  </si>
  <si>
    <t>CN201110371541.1</t>
  </si>
  <si>
    <t>一种平行流换热器及其制作方法</t>
  </si>
  <si>
    <t>2011/11/21</t>
  </si>
  <si>
    <t>2016/03/23</t>
  </si>
  <si>
    <t>CN201410183208.1</t>
  </si>
  <si>
    <t>电压力锅的开盖装置和电压力锅</t>
  </si>
  <si>
    <t>佛山市顺德区美的电热电器制造有限公司|美的集团股份有限公司</t>
  </si>
  <si>
    <t>吴建新|佘艳|张小林|陈华亮|苏畅</t>
  </si>
  <si>
    <t>吴建新</t>
  </si>
  <si>
    <t>2014/04/30</t>
  </si>
  <si>
    <t>CN201220491191.2</t>
  </si>
  <si>
    <t>一种开盖装置及使用其的电饭煲</t>
  </si>
  <si>
    <t>王日就|黄辉|王彤|覃德华|李锦彬|谢鹏</t>
  </si>
  <si>
    <t>王日就</t>
  </si>
  <si>
    <t>2012/09/24</t>
  </si>
  <si>
    <t>A47J 27/00</t>
  </si>
  <si>
    <t>CN201410147904.7</t>
  </si>
  <si>
    <t>遥控器背光控制方法和遥控器背光控制装置</t>
  </si>
  <si>
    <t>李文博|王育强</t>
  </si>
  <si>
    <t>李文博</t>
  </si>
  <si>
    <t>H05B 37/02</t>
  </si>
  <si>
    <t>CN201110142821.5</t>
  </si>
  <si>
    <t>夜光遥控器及其控制方法</t>
  </si>
  <si>
    <t>田云</t>
  </si>
  <si>
    <t>2011/05/30</t>
  </si>
  <si>
    <t>G08C</t>
  </si>
  <si>
    <t>G08C 23/04</t>
  </si>
  <si>
    <t>CN201410035564.9</t>
  </si>
  <si>
    <t>旋转式压缩机和具有其的制冷循环系统</t>
  </si>
  <si>
    <t>小津政雄|喻继江|高斌|王玲</t>
  </si>
  <si>
    <t>2014/01/24</t>
  </si>
  <si>
    <t>F04C 18/344</t>
  </si>
  <si>
    <t>CN201220543196.5</t>
  </si>
  <si>
    <t>一种新型旋转压缩机</t>
  </si>
  <si>
    <t>林少坤|陈炯</t>
  </si>
  <si>
    <t>林少坤</t>
  </si>
  <si>
    <t>2012/10/22</t>
  </si>
  <si>
    <t>2013/08/21</t>
  </si>
  <si>
    <t>F04C 23/02</t>
  </si>
  <si>
    <t>CN201310728284.1</t>
  </si>
  <si>
    <t>旋转式压缩机的压缩泵体</t>
  </si>
  <si>
    <t>彭道银|吴敬钦|付清轩</t>
  </si>
  <si>
    <t>彭道银</t>
  </si>
  <si>
    <t>2013/12/25</t>
  </si>
  <si>
    <t>CN201020608646.5</t>
  </si>
  <si>
    <t>一种降阻耐磨的回转压缩机</t>
  </si>
  <si>
    <t>曾志坚|谢利昌</t>
  </si>
  <si>
    <t>曾志坚</t>
  </si>
  <si>
    <t>2010/11/16</t>
  </si>
  <si>
    <t>2011/10/05</t>
  </si>
  <si>
    <t>CN201310499611.0</t>
  </si>
  <si>
    <t>宋庆华|梁自强|吴嘉晖</t>
  </si>
  <si>
    <t>宋庆华</t>
  </si>
  <si>
    <t>2013/10/22</t>
  </si>
  <si>
    <t>CN201110070987.0</t>
  </si>
  <si>
    <t>邹鹏</t>
  </si>
  <si>
    <t>CN201310332243.0</t>
  </si>
  <si>
    <t>熊指挥</t>
  </si>
  <si>
    <t>2013/08/01</t>
  </si>
  <si>
    <t>CN201120516231.X</t>
  </si>
  <si>
    <t>旋转式压缩机及空调器</t>
  </si>
  <si>
    <t>余冰|李志鹏|王伟</t>
  </si>
  <si>
    <t>余冰</t>
  </si>
  <si>
    <t>2011/12/12</t>
  </si>
  <si>
    <t>2012/07/11</t>
  </si>
  <si>
    <t>CN201310163417.5</t>
  </si>
  <si>
    <t>平行流换热器及空调器</t>
  </si>
  <si>
    <t>汪剑波|程志明|徐龙贵|黄小军</t>
  </si>
  <si>
    <t>汪剑波</t>
  </si>
  <si>
    <t>2013/05/06</t>
  </si>
  <si>
    <t>2016/03/02</t>
  </si>
  <si>
    <t>CN201020122205.4</t>
  </si>
  <si>
    <t>微通道换热器</t>
  </si>
  <si>
    <t>2010/02/23</t>
  </si>
  <si>
    <t>F28D</t>
  </si>
  <si>
    <t>F28D  1/04</t>
  </si>
  <si>
    <t>CN201410136959.8</t>
  </si>
  <si>
    <t>风门闭合到位检测装置及制冷装置</t>
  </si>
  <si>
    <t>合肥美的电冰箱有限公司</t>
  </si>
  <si>
    <t>符秀亮|孙超|刘富明|祝云飞|张志|陈鹏|张玉婷</t>
  </si>
  <si>
    <t>符秀亮</t>
  </si>
  <si>
    <t>2014/04/04</t>
  </si>
  <si>
    <t>2016/02/24</t>
  </si>
  <si>
    <t>F25D</t>
  </si>
  <si>
    <t>F25D 29/00</t>
  </si>
  <si>
    <t>CN200710163340.6</t>
  </si>
  <si>
    <t>滑动门控制装置及方法</t>
  </si>
  <si>
    <t>张  辉|陈兆祥|吴  斌</t>
  </si>
  <si>
    <t>2007/10/19</t>
  </si>
  <si>
    <t>2009/04/22</t>
  </si>
  <si>
    <t>CN201310307043.X</t>
  </si>
  <si>
    <t>用于冰箱的压缩机组件和具有其的冰箱</t>
  </si>
  <si>
    <t>苑保利|方忠诚</t>
  </si>
  <si>
    <t>苑保利</t>
  </si>
  <si>
    <t>2013/07/19</t>
  </si>
  <si>
    <t>F25D 19/00</t>
  </si>
  <si>
    <t>CN201120457431.2</t>
  </si>
  <si>
    <t>一种压缩机用减振垫</t>
  </si>
  <si>
    <t>郑州凌达压缩机有限公司</t>
  </si>
  <si>
    <t>沈慧|谢利昌|陈澎钰</t>
  </si>
  <si>
    <t>沈慧</t>
  </si>
  <si>
    <t>F16F</t>
  </si>
  <si>
    <t>F16F  1/376</t>
  </si>
  <si>
    <t>1.28</t>
  </si>
  <si>
    <t>CN201310577345.9</t>
  </si>
  <si>
    <t>马宇山</t>
  </si>
  <si>
    <t>2013/11/18</t>
  </si>
  <si>
    <t>CN201010601835.4</t>
  </si>
  <si>
    <t>压缩机消声装置及具有该消声装置的压缩机</t>
  </si>
  <si>
    <t>谷欢欢</t>
  </si>
  <si>
    <t>2010/12/22</t>
  </si>
  <si>
    <t>F04C 29/06</t>
  </si>
  <si>
    <t>CN201210331197.8</t>
  </si>
  <si>
    <t>空调热泵系统</t>
  </si>
  <si>
    <t>冯伟|许永锋|张光鹏|梁伯启|李洪生|李宏伟</t>
  </si>
  <si>
    <t>冯伟</t>
  </si>
  <si>
    <t>2012/09/07</t>
  </si>
  <si>
    <t>CN200620060435.6</t>
  </si>
  <si>
    <t>低温热泵空调系统</t>
  </si>
  <si>
    <t>刘桂平|詹跃航|张党锋|余  凯|梁大化</t>
  </si>
  <si>
    <t>刘桂平</t>
  </si>
  <si>
    <t>2006/06/14</t>
  </si>
  <si>
    <t>2007/07/25</t>
  </si>
  <si>
    <t>CN201110319847.2</t>
  </si>
  <si>
    <t>平行流换热器</t>
  </si>
  <si>
    <t>CN201310102328.X</t>
  </si>
  <si>
    <t>落地式空调器</t>
  </si>
  <si>
    <t>邯郸美的制冷设备有限公司</t>
  </si>
  <si>
    <t>惠文科|李玉狮|彭代杰</t>
  </si>
  <si>
    <t>惠文科</t>
  </si>
  <si>
    <t>2016/02/03</t>
  </si>
  <si>
    <t>F24F 13/22</t>
  </si>
  <si>
    <t>CN201220219146.1</t>
  </si>
  <si>
    <t>空调排水系统及空调器</t>
  </si>
  <si>
    <t>雷新建|张正甫|卢伟|王云亮</t>
  </si>
  <si>
    <t>2012/05/15</t>
  </si>
  <si>
    <t>2012/11/28</t>
  </si>
  <si>
    <t>CN201310240548.9</t>
  </si>
  <si>
    <t>语音交互式空调器及其控制方法</t>
  </si>
  <si>
    <t>杜鹏杰|刘锦泉</t>
  </si>
  <si>
    <t>杜鹏杰</t>
  </si>
  <si>
    <t>2013/06/17</t>
  </si>
  <si>
    <t>CN200720181268.5</t>
  </si>
  <si>
    <t>空调控制装置</t>
  </si>
  <si>
    <t>张  辉|钟明生|宋德超|赫晓龙|张永庆|孙方超</t>
  </si>
  <si>
    <t>2007/11/20</t>
  </si>
  <si>
    <t>2008/10/08</t>
  </si>
  <si>
    <t>4.52</t>
  </si>
  <si>
    <t>CN201310226224.X</t>
  </si>
  <si>
    <t>空调导风机构及空调器</t>
  </si>
  <si>
    <t>华龙|吕艳红|岳宝</t>
  </si>
  <si>
    <t>2013/06/07</t>
  </si>
  <si>
    <t>CN200820043403.4</t>
  </si>
  <si>
    <t>马颖江|袁  琪|喻耀明|肖德玲|岳  锐</t>
  </si>
  <si>
    <t>2008/01/28</t>
  </si>
  <si>
    <t>2009/02/04</t>
  </si>
  <si>
    <t>CN201310046785.1</t>
  </si>
  <si>
    <t>一种单转子压缩机的振动补偿方法及控制器</t>
  </si>
  <si>
    <t>张国柱|严光</t>
  </si>
  <si>
    <t>张国柱</t>
  </si>
  <si>
    <t>2013/02/05</t>
  </si>
  <si>
    <t>F04C 28/00</t>
  </si>
  <si>
    <t>CN200910001918.7</t>
  </si>
  <si>
    <t>转矩自动补偿系统和转矩自动补偿方法</t>
  </si>
  <si>
    <t>马颖江|张有林|米雪涛|郭清风|宋爱</t>
  </si>
  <si>
    <t>2009/01/14</t>
  </si>
  <si>
    <t>2010/07/14</t>
  </si>
  <si>
    <t>CN201210238232.1</t>
  </si>
  <si>
    <t>送风装置及空调室内机</t>
  </si>
  <si>
    <t>张惟|黎文斗|游斌|周拨|刘阳|黄剑云|周何杰</t>
  </si>
  <si>
    <t>张惟</t>
  </si>
  <si>
    <t>2012/07/10</t>
  </si>
  <si>
    <t>CN200620054607.9</t>
  </si>
  <si>
    <t>一种新型高效降噪导流圈</t>
  </si>
  <si>
    <t>赵  亮|刘中杰|刘利娜</t>
  </si>
  <si>
    <t>赵  亮</t>
  </si>
  <si>
    <t>2006/02/05</t>
  </si>
  <si>
    <t>2007/04/25</t>
  </si>
  <si>
    <t>F24F 13/24</t>
  </si>
  <si>
    <t>0.62</t>
  </si>
  <si>
    <t>CN201210181638.0</t>
  </si>
  <si>
    <t>小津政雄|吴延平|宋鹏杰</t>
  </si>
  <si>
    <t>2012/06/04</t>
  </si>
  <si>
    <t>CN201020268755.7</t>
  </si>
  <si>
    <t>双级压缩机及其泵体隔板</t>
  </si>
  <si>
    <t>2010/07/21</t>
  </si>
  <si>
    <t>2011/01/19</t>
  </si>
  <si>
    <t>0.80</t>
  </si>
  <si>
    <t>CN201310268091.2</t>
  </si>
  <si>
    <t>热泵空调系统及其控制方法</t>
  </si>
  <si>
    <t>CN201220147220.3</t>
  </si>
  <si>
    <t>热泵式空气调节装置</t>
  </si>
  <si>
    <t>张辉|陈绍林|熊军|段亮|王现林|孟琪林</t>
  </si>
  <si>
    <t>2012/11/21</t>
  </si>
  <si>
    <t>CN201310163160.3</t>
  </si>
  <si>
    <t>空调器压缩机的启动保护电路及方法</t>
  </si>
  <si>
    <t>严光|陈建昌|张国柱</t>
  </si>
  <si>
    <t>严光</t>
  </si>
  <si>
    <t>CN201220173486.5</t>
  </si>
  <si>
    <t>压缩机启动电路和空调器</t>
  </si>
  <si>
    <t>李和辉|宋德超|刘访</t>
  </si>
  <si>
    <t>李和辉</t>
  </si>
  <si>
    <t>2012/04/20</t>
  </si>
  <si>
    <t>2012/10/24</t>
  </si>
  <si>
    <t>H02P  1/44</t>
  </si>
  <si>
    <t>CN201210576054.3</t>
  </si>
  <si>
    <t>集流管及平行流换热器</t>
  </si>
  <si>
    <t>华龙|程志明|吕艳红</t>
  </si>
  <si>
    <t>2012/12/26</t>
  </si>
  <si>
    <t>CN201010289536.1</t>
  </si>
  <si>
    <t>一种换热器连接装置及微通道换热器</t>
  </si>
  <si>
    <t>邢淑敏|梁祥飞</t>
  </si>
  <si>
    <t>2010/09/17</t>
  </si>
  <si>
    <t>F28F  9/26</t>
  </si>
  <si>
    <t>CN201210277794.7</t>
  </si>
  <si>
    <t>用于立式空调器的组合式导风组件及其立式空调器</t>
  </si>
  <si>
    <t>毛先友|刘志强|万明|李向阳|李强</t>
  </si>
  <si>
    <t>CN201010573186.1</t>
  </si>
  <si>
    <t>张辉|陈绍林|孟宪运|丘晓宏|文超|余伟铬</t>
  </si>
  <si>
    <t>2010/12/03</t>
  </si>
  <si>
    <t>F24F 13/14</t>
  </si>
  <si>
    <t>CN201210271175.7</t>
  </si>
  <si>
    <t>一种空调系统及其系统参数更改方法</t>
  </si>
  <si>
    <t>霍军亚|李强|罗宇华|付新|滕建文|梁敏游</t>
  </si>
  <si>
    <t>霍军亚</t>
  </si>
  <si>
    <t>2012/07/30</t>
  </si>
  <si>
    <t>CN201310036140.X</t>
  </si>
  <si>
    <t>一种定子</t>
  </si>
  <si>
    <t>广东威灵电机制造有限公司</t>
  </si>
  <si>
    <t>王飞|万为君|杨泽荣|文凯平</t>
  </si>
  <si>
    <t>王飞</t>
  </si>
  <si>
    <t>2013/01/06</t>
  </si>
  <si>
    <t>2015/12/09</t>
  </si>
  <si>
    <t>H02K  1/16</t>
  </si>
  <si>
    <t>CN201120411734.0</t>
  </si>
  <si>
    <t>模块化电机定子</t>
  </si>
  <si>
    <t>赖化鸿|尹伟锋|陈炯|陈迪松|王方明</t>
  </si>
  <si>
    <t>赖化鸿</t>
  </si>
  <si>
    <t>2012/07/04</t>
  </si>
  <si>
    <t>H02K  1/14</t>
  </si>
  <si>
    <t>CN201310160937.0</t>
  </si>
  <si>
    <t>防倾倒的落地式箱体和空调器</t>
  </si>
  <si>
    <t>广东美的制冷设备有限公司|美的集团武汉制冷设备有限公司</t>
  </si>
  <si>
    <t>刘志强|毛先友|李向阳</t>
  </si>
  <si>
    <t>2013/05/03</t>
  </si>
  <si>
    <t>CN200820202642.X</t>
  </si>
  <si>
    <t>商用风冷单元柜式空调机室外机</t>
  </si>
  <si>
    <t>薛寒冬|武连发|张  龙|刘  煜|雷杰雄|宋培刚|胡明霞</t>
  </si>
  <si>
    <t>薛寒冬</t>
  </si>
  <si>
    <t>2008/10/30</t>
  </si>
  <si>
    <t>CN201310226274.8</t>
  </si>
  <si>
    <t>华龙|吕艳红</t>
  </si>
  <si>
    <t>2015/11/25</t>
  </si>
  <si>
    <t>CN201210252144.7</t>
  </si>
  <si>
    <t>空调出风口转动角度的控制系统及其控制方法</t>
  </si>
  <si>
    <t>向兴华|谷守良|刘锦泉|黎文斗|张智</t>
  </si>
  <si>
    <t>向兴华</t>
  </si>
  <si>
    <t>2012/07/19</t>
  </si>
  <si>
    <t>CN201010003597.7</t>
  </si>
  <si>
    <t>2011/07/13</t>
  </si>
  <si>
    <t>1.60</t>
  </si>
  <si>
    <t>CN201310461338.2</t>
  </si>
  <si>
    <t>制冷系统和制热系统</t>
  </si>
  <si>
    <t>高斌</t>
  </si>
  <si>
    <t>2013/09/30</t>
  </si>
  <si>
    <t>CN201110063051.5</t>
  </si>
  <si>
    <t>空调及其电机预冷的低背压压缩机</t>
  </si>
  <si>
    <t>卢林高|郑晓峰|赵旭敏</t>
  </si>
  <si>
    <t>卢林高</t>
  </si>
  <si>
    <t>2011/03/16</t>
  </si>
  <si>
    <t>2012/09/19</t>
  </si>
  <si>
    <t>F04C 29/04</t>
  </si>
  <si>
    <t>0.5</t>
  </si>
  <si>
    <t>CN201110371523.3</t>
  </si>
  <si>
    <t>刘阳|李强|佐藤宪一郎|陈多聪</t>
  </si>
  <si>
    <t>CN201110319878.8</t>
  </si>
  <si>
    <t>一种平行流换热器</t>
  </si>
  <si>
    <t>佐藤宪一郎|李强|刘阳|徐绍勇|陈多聪</t>
  </si>
  <si>
    <t>佐藤宪一郎</t>
  </si>
  <si>
    <t>CN201310279997.4</t>
  </si>
  <si>
    <t>低背压旋转式压缩机</t>
  </si>
  <si>
    <t>高斌|陈振华</t>
  </si>
  <si>
    <t>2013/07/04</t>
  </si>
  <si>
    <t>2015/10/28</t>
  </si>
  <si>
    <t>CN201210141636.9</t>
  </si>
  <si>
    <t>一种壳体内低压的旋转压缩机</t>
  </si>
  <si>
    <t>黄楷涛|黎法运|高永红|贾亚奇</t>
  </si>
  <si>
    <t>黄楷涛</t>
  </si>
  <si>
    <t>CN201310157603.8</t>
  </si>
  <si>
    <t>空调器的自适应控制方法和装置</t>
  </si>
  <si>
    <t>张武军|滕建文|霍军亚</t>
  </si>
  <si>
    <t>2013/04/28</t>
  </si>
  <si>
    <t>2015/10/21</t>
  </si>
  <si>
    <t>CN200810029124.7</t>
  </si>
  <si>
    <t>空调器的智能控制方法</t>
  </si>
  <si>
    <t>张  辉|钟明生|孟宪运|王文斌|邹云辉</t>
  </si>
  <si>
    <t>2008/06/30</t>
  </si>
  <si>
    <t>2010/01/06</t>
  </si>
  <si>
    <t>2.74</t>
  </si>
  <si>
    <t>CN201310105081.7</t>
  </si>
  <si>
    <t>空调器及其出风温度控制方法</t>
  </si>
  <si>
    <t>游斌|吕艳红</t>
  </si>
  <si>
    <t>游斌</t>
  </si>
  <si>
    <t>2013/03/28</t>
  </si>
  <si>
    <t>CN200710027215.2</t>
  </si>
  <si>
    <t>一种具有静音功能空调器的多档运行控制方法</t>
  </si>
  <si>
    <t>朱江洪|马颖江|梁俊杰|王永立|伍志辉</t>
  </si>
  <si>
    <t>2007/03/17</t>
  </si>
  <si>
    <t>2008/09/17</t>
  </si>
  <si>
    <t>CN201210548663.8</t>
  </si>
  <si>
    <t>制冷设备及其压缩机组件</t>
  </si>
  <si>
    <t>胡鹏|韩笑</t>
  </si>
  <si>
    <t>胡鹏</t>
  </si>
  <si>
    <t>2012/12/17</t>
  </si>
  <si>
    <t>CN201220184920.X</t>
  </si>
  <si>
    <t>压缩机及具有其的空调器</t>
  </si>
  <si>
    <t>兰江华</t>
  </si>
  <si>
    <t>2012/04/26</t>
  </si>
  <si>
    <t>F24F  1/10</t>
  </si>
  <si>
    <t>0.49</t>
  </si>
  <si>
    <t>CN201210501834.1</t>
  </si>
  <si>
    <t>空调导风板机构和空调器</t>
  </si>
  <si>
    <t>沈展良|黎文斗</t>
  </si>
  <si>
    <t>沈展良</t>
  </si>
  <si>
    <t>2012/11/29</t>
  </si>
  <si>
    <t>2015/09/30</t>
  </si>
  <si>
    <t>CN201020179000.X</t>
  </si>
  <si>
    <t>一种空调器的导风结构</t>
  </si>
  <si>
    <t>2010/04/27</t>
  </si>
  <si>
    <t>2.75</t>
  </si>
  <si>
    <t>CN201010230977.4</t>
  </si>
  <si>
    <t>带太阳能电池的直流变频空调器</t>
  </si>
  <si>
    <t>李洪涛|谢志君|许蔡辉|白东培|彭良</t>
  </si>
  <si>
    <t>李洪涛</t>
  </si>
  <si>
    <t>2010/06/30</t>
  </si>
  <si>
    <t>2015/09/09</t>
  </si>
  <si>
    <t>H02J</t>
  </si>
  <si>
    <t>H02J  9/04</t>
  </si>
  <si>
    <t>CN201310539135.0</t>
  </si>
  <si>
    <t>用于冰箱的铰链和具有该铰链的冰箱</t>
  </si>
  <si>
    <t>李之龙|岳宏|王慧敏</t>
  </si>
  <si>
    <t>李之龙</t>
  </si>
  <si>
    <t>2013/11/04</t>
  </si>
  <si>
    <t>E05D</t>
  </si>
  <si>
    <t>E05D  7/04</t>
  </si>
  <si>
    <t>CN201220181971.7</t>
  </si>
  <si>
    <t>铰链组件及具有该铰链组件的冰箱</t>
  </si>
  <si>
    <t>衣震旭|张晓东</t>
  </si>
  <si>
    <t>衣震旭</t>
  </si>
  <si>
    <t>2012/04/25</t>
  </si>
  <si>
    <t>E05D  7/081</t>
  </si>
  <si>
    <t>CN201310067106.9</t>
  </si>
  <si>
    <t>落地式空调室内机</t>
  </si>
  <si>
    <t>蔡序杰|蔡征军|杨熙|黎文斗|张智</t>
  </si>
  <si>
    <t>2013/03/01</t>
  </si>
  <si>
    <t>2015/08/19</t>
  </si>
  <si>
    <t>CN201020265604.6</t>
  </si>
  <si>
    <t>落地式空调机</t>
  </si>
  <si>
    <t>张辉|陈绍林|孟宪运|刘北泉|王朝新</t>
  </si>
  <si>
    <t>2010/07/20</t>
  </si>
  <si>
    <t>CN201310535416.9</t>
  </si>
  <si>
    <t>旋转式压缩机及制冷循环装置</t>
  </si>
  <si>
    <t>小津政雄|高斌|王玲</t>
  </si>
  <si>
    <t>2015/08/05</t>
  </si>
  <si>
    <t>CN201210116759.7</t>
  </si>
  <si>
    <t>一种多联机组室外机换热器能力输出调节装置</t>
  </si>
  <si>
    <t>广东美的暖通设备限公司</t>
  </si>
  <si>
    <t>李宏伟|许永锋|梁伯启|李洪生|冯伟</t>
  </si>
  <si>
    <t>李宏伟</t>
  </si>
  <si>
    <t>2015/06/17</t>
  </si>
  <si>
    <t>F25B 41/00</t>
  </si>
  <si>
    <t>CN200610037148.8</t>
  </si>
  <si>
    <t>空调器用室外机</t>
  </si>
  <si>
    <t>詹跃航|肖洪海|沈  军|谭成斌|梁大化</t>
  </si>
  <si>
    <t>詹跃航</t>
  </si>
  <si>
    <t>2006/08/22</t>
  </si>
  <si>
    <t>2008/02/27</t>
  </si>
  <si>
    <t>CN201210499364.X</t>
  </si>
  <si>
    <t>单流程干式蒸发器</t>
  </si>
  <si>
    <t>重庆美的通用制冷设备有限公司|美的集团股份有限公司</t>
  </si>
  <si>
    <t>夏雨亮</t>
  </si>
  <si>
    <t>F25B 39/02</t>
  </si>
  <si>
    <t>CN200920000257.1</t>
  </si>
  <si>
    <t>用于为换热器分配制冷剂的管箱装置</t>
  </si>
  <si>
    <t>黄智强|刘  华|唐道轲|胡东兵|赵海洲|张孝进</t>
  </si>
  <si>
    <t>黄智强</t>
  </si>
  <si>
    <t>2009/01/15</t>
  </si>
  <si>
    <t>2009/12/30</t>
  </si>
  <si>
    <t>CN201210217358.0</t>
  </si>
  <si>
    <t>一种加热器判断沸腾的控制方法</t>
  </si>
  <si>
    <t>何毅东|张永亮|杨立萍</t>
  </si>
  <si>
    <t>何毅东</t>
  </si>
  <si>
    <t>2015/05/27</t>
  </si>
  <si>
    <t>A47J 36/24</t>
  </si>
  <si>
    <t>CN201010506542.8</t>
  </si>
  <si>
    <t>电饭煲自定义加热模式的煮饭方法及电饭煲</t>
  </si>
  <si>
    <t>杨勇|徐明燕|覃德华|胡逢亮|吕文钊</t>
  </si>
  <si>
    <t>2010/10/13</t>
  </si>
  <si>
    <t>2012/05/09</t>
  </si>
  <si>
    <t>CN201210086869.3</t>
  </si>
  <si>
    <t>一种风扇舒适风的控制方法</t>
  </si>
  <si>
    <t>林荣春|戴修敏|李益爱|聂军健|彭博超</t>
  </si>
  <si>
    <t>林荣春</t>
  </si>
  <si>
    <t>2012/03/29</t>
  </si>
  <si>
    <t>2015/05/06</t>
  </si>
  <si>
    <t>CN201110152625.6</t>
  </si>
  <si>
    <t>旋转压缩机的滑片及其制作方法</t>
  </si>
  <si>
    <t>夏小鸽</t>
  </si>
  <si>
    <t>CN200910261252.9</t>
  </si>
  <si>
    <t>一种回转压缩机气缸用粉末冶金材料以及其加工工艺</t>
  </si>
  <si>
    <t>廖熠|周明杰|谢利昌</t>
  </si>
  <si>
    <t>廖熠</t>
  </si>
  <si>
    <t>2009/12/24</t>
  </si>
  <si>
    <t>B22F</t>
  </si>
  <si>
    <t>B22F  1/00</t>
  </si>
  <si>
    <t>0.7</t>
  </si>
  <si>
    <t>CN201210299456.3</t>
  </si>
  <si>
    <t>空调热泵冷媒回收装置、方法及空调室外机</t>
  </si>
  <si>
    <t>张光鹏|许永锋|李华勇|梁伯启|李洪生|李宏伟|冯伟</t>
  </si>
  <si>
    <t>张光鹏</t>
  </si>
  <si>
    <t>2012/08/21</t>
  </si>
  <si>
    <t>2015/04/22</t>
  </si>
  <si>
    <t>CN201020629614.3</t>
  </si>
  <si>
    <t>一种阀门组件及多联机空调系统</t>
  </si>
  <si>
    <t>杜辉|熊建国|刘煜|余凯|王成|周伙喜|张仕强|李兆东|杨泽恺</t>
  </si>
  <si>
    <t>杜辉</t>
  </si>
  <si>
    <t>2010/11/29</t>
  </si>
  <si>
    <t>CN201310146685.6</t>
  </si>
  <si>
    <t>变频空调智能进入静音模式的控制方法</t>
  </si>
  <si>
    <t>2013/04/24</t>
  </si>
  <si>
    <t>2015/04/15</t>
  </si>
  <si>
    <t>CN201210236170.0</t>
  </si>
  <si>
    <t>轴流风轮及空调室外机</t>
  </si>
  <si>
    <t>易正清|游斌|马列</t>
  </si>
  <si>
    <t>易正清</t>
  </si>
  <si>
    <t>F04D 29/32</t>
  </si>
  <si>
    <t>CN200920058051.4</t>
  </si>
  <si>
    <t>轴流风叶</t>
  </si>
  <si>
    <t>刘利娜|刘中杰|马重夫|马丽|龙斌华</t>
  </si>
  <si>
    <t>刘利娜</t>
  </si>
  <si>
    <t>2009/06/08</t>
  </si>
  <si>
    <t>2010/04/07</t>
  </si>
  <si>
    <t>CN201210147666.0</t>
  </si>
  <si>
    <t>一种多负载的电源控制装置及控制方法</t>
  </si>
  <si>
    <t>李志敏|何波|刘磊</t>
  </si>
  <si>
    <t>李志敏</t>
  </si>
  <si>
    <t>2012/05/14</t>
  </si>
  <si>
    <t>2015/02/18</t>
  </si>
  <si>
    <t>G05B 19/04</t>
  </si>
  <si>
    <t>CN201120298170.4</t>
  </si>
  <si>
    <t>一种压缩机和电加热带的供电联合控制系统</t>
  </si>
  <si>
    <t>格力电器（芜湖）有限公司</t>
  </si>
  <si>
    <t>祝朝文|王定国|张青|尹贺鹏|马娟</t>
  </si>
  <si>
    <t>祝朝文</t>
  </si>
  <si>
    <t>2011/08/16</t>
  </si>
  <si>
    <t>2011/11/30</t>
  </si>
  <si>
    <t>0.50</t>
  </si>
  <si>
    <t>CN201210590023.3</t>
  </si>
  <si>
    <t>制冷设备的控制方法</t>
  </si>
  <si>
    <t>王振兴|胡海宏|孙超|任伟</t>
  </si>
  <si>
    <t>王振兴</t>
  </si>
  <si>
    <t>2012/12/31</t>
  </si>
  <si>
    <t>2015/01/21</t>
  </si>
  <si>
    <t>CN201110003187.7</t>
  </si>
  <si>
    <t>变频控制方法及装置、空调器</t>
  </si>
  <si>
    <t>陈万兴|李绍斌|曹勇|任鹏|谭国飞|盛光有|曹成</t>
  </si>
  <si>
    <t>陈万兴</t>
  </si>
  <si>
    <t>2011/01/07</t>
  </si>
  <si>
    <t>CN201210191307.5</t>
  </si>
  <si>
    <t>热泵热水机系统及其控制风速的方法</t>
  </si>
  <si>
    <t>梁伟钊</t>
  </si>
  <si>
    <t>F24H</t>
  </si>
  <si>
    <t>F24H  4/04</t>
  </si>
  <si>
    <t>CN201210105527.1</t>
  </si>
  <si>
    <t>一种具有升降装置的空调机</t>
  </si>
  <si>
    <t>廖辉|陈俊|刘海廷|钟志尧</t>
  </si>
  <si>
    <t>廖辉</t>
  </si>
  <si>
    <t>2012/04/12</t>
  </si>
  <si>
    <t>2014/10/29</t>
  </si>
  <si>
    <t>CN200710007813.3</t>
  </si>
  <si>
    <t>张  辉|孟宪运|刘北泉|吴锦平|刘明校</t>
  </si>
  <si>
    <t>2007/01/10</t>
  </si>
  <si>
    <t>CN201110298187.4</t>
  </si>
  <si>
    <t>一种射频通信装置及控制方法、遥控器、受控设备和家用电器</t>
  </si>
  <si>
    <t>莫中勇|付新|王丽娜</t>
  </si>
  <si>
    <t>莫中勇</t>
  </si>
  <si>
    <t>2014/06/04</t>
  </si>
  <si>
    <t>G08C 17/02</t>
  </si>
  <si>
    <t>CN201020198974.2</t>
  </si>
  <si>
    <t>家用电器及其通信装置、遥控器和受控设备</t>
  </si>
  <si>
    <t>赵天光|曾亮|梁智雄</t>
  </si>
  <si>
    <t>赵天光</t>
  </si>
  <si>
    <t>2010/05/14</t>
  </si>
  <si>
    <t>0.90</t>
  </si>
  <si>
    <t>CN201210035716.6</t>
  </si>
  <si>
    <t>柜式空调机</t>
  </si>
  <si>
    <t>合肥美的电冰箱有限公司|合肥华凌股份有限公司</t>
  </si>
  <si>
    <t>文坚|吕正光|潘巨忠|潘舒伟|陈士发</t>
  </si>
  <si>
    <t>文坚</t>
  </si>
  <si>
    <t>2012/02/16</t>
  </si>
  <si>
    <t>2014/05/21</t>
  </si>
  <si>
    <t>CN93234825.4</t>
  </si>
  <si>
    <t>冷柜空调两用机</t>
  </si>
  <si>
    <t>珠海市格力集团电器股份有限公司</t>
  </si>
  <si>
    <t>陈建民|王少朋|张辉</t>
  </si>
  <si>
    <t>陈建民</t>
  </si>
  <si>
    <t>1993/10/09</t>
  </si>
  <si>
    <t>1994/08/31</t>
  </si>
  <si>
    <t>0.91</t>
  </si>
  <si>
    <t>CN201210035569.2</t>
  </si>
  <si>
    <t>显示可用热水量的热水器及其控制方法</t>
  </si>
  <si>
    <t>骆名文|何远荣</t>
  </si>
  <si>
    <t>骆名文</t>
  </si>
  <si>
    <t>2014/04/09</t>
  </si>
  <si>
    <t>F24H  9/20</t>
  </si>
  <si>
    <t>CN200910041161.4</t>
  </si>
  <si>
    <t>热水器及其控制方法</t>
  </si>
  <si>
    <t>张龙|熊建国|唐道轲|柳飞|陈忠杰|雍文涛|刘刚峰|袁明征|王芳|景仁坤|戴雄|张玉进|蒋金龙</t>
  </si>
  <si>
    <t>2009/07/15</t>
  </si>
  <si>
    <t>F24H  1/18</t>
  </si>
  <si>
    <t>0.73</t>
  </si>
  <si>
    <t>CN201210036423.X</t>
  </si>
  <si>
    <t>一种空调控制器触摸条的无级调速方法</t>
  </si>
  <si>
    <t>陈建昌|付新</t>
  </si>
  <si>
    <t>陈建昌</t>
  </si>
  <si>
    <t>2012/02/17</t>
  </si>
  <si>
    <t>2014/01/01</t>
  </si>
  <si>
    <t>CN200510036657.4</t>
  </si>
  <si>
    <t>单相异步电机调压调速控制器及使用该控制器的空调器</t>
  </si>
  <si>
    <t>谭建明|谭泽汉|谢涌泉</t>
  </si>
  <si>
    <t>2005/08/23</t>
  </si>
  <si>
    <t>2007/02/28</t>
  </si>
  <si>
    <t>H02P 27/02</t>
  </si>
  <si>
    <t>CN201110196774.2</t>
  </si>
  <si>
    <t>一种使用可燃冷媒的空调器及其控制方法</t>
  </si>
  <si>
    <t>周向阳|伍光辉|刘智勇</t>
  </si>
  <si>
    <t>周向阳</t>
  </si>
  <si>
    <t>2011/07/14</t>
  </si>
  <si>
    <t>CN201210058628.8</t>
  </si>
  <si>
    <t>一种速热式热泵热水机及加热控制方法</t>
  </si>
  <si>
    <t>2012/03/08</t>
  </si>
  <si>
    <t>2013/11/27</t>
  </si>
  <si>
    <t>F24H  4/02</t>
  </si>
  <si>
    <t>CN200820045198.5</t>
  </si>
  <si>
    <t>直热式冷暖型空调热水器</t>
  </si>
  <si>
    <t>朱松勤</t>
  </si>
  <si>
    <t>2009/04/01</t>
  </si>
  <si>
    <t>CN201110138582.6</t>
  </si>
  <si>
    <t>使用可燃冷媒的空调器及其控制方法</t>
  </si>
  <si>
    <t>2013/11/06</t>
  </si>
  <si>
    <t>CN201110411770.1</t>
  </si>
  <si>
    <t>一种空调系统及其控制方法</t>
  </si>
  <si>
    <t>熊美兵|闫晓楼</t>
  </si>
  <si>
    <t>熊美兵</t>
  </si>
  <si>
    <t>2013/10/09</t>
  </si>
  <si>
    <t>CN200620065011.9</t>
  </si>
  <si>
    <t>热回收空调机组</t>
  </si>
  <si>
    <t>魏爱国|唐道轲|程孝武</t>
  </si>
  <si>
    <t>魏爱国</t>
  </si>
  <si>
    <t>2006/09/28</t>
  </si>
  <si>
    <t>2007/10/24</t>
  </si>
  <si>
    <t>2.47</t>
  </si>
  <si>
    <t>CN201110162844.2</t>
  </si>
  <si>
    <t>直流变频空调及其控制方法</t>
  </si>
  <si>
    <t>朱良红|李强|罗宇华</t>
  </si>
  <si>
    <t>朱良红</t>
  </si>
  <si>
    <t>2011/06/16</t>
  </si>
  <si>
    <t>CN201110083552.X</t>
  </si>
  <si>
    <t>空调器的电加热装置及其控制方法</t>
  </si>
  <si>
    <t>广州华凌空调设备有限公司</t>
  </si>
  <si>
    <t>王斌</t>
  </si>
  <si>
    <t>2011/04/02</t>
  </si>
  <si>
    <t>CN200920169794.9</t>
  </si>
  <si>
    <t>用于空调辅助电加热的控制装置</t>
  </si>
  <si>
    <t>黄辉|钟明生|李文灿|宋德超|龚辉平</t>
  </si>
  <si>
    <t>2009/09/02</t>
  </si>
  <si>
    <t>2010/04/14</t>
  </si>
  <si>
    <t>1.52</t>
  </si>
  <si>
    <t>CN201110280148.1</t>
  </si>
  <si>
    <t>用于多联式室外机模块并联用的高压气平衡装置</t>
  </si>
  <si>
    <t>熊美兵|许永锋|孙先金|马熙华|梁泽坤|闫晓楼|冯明坤</t>
  </si>
  <si>
    <t>2011/09/20</t>
  </si>
  <si>
    <t>CN200720050386.2</t>
  </si>
  <si>
    <t>一种多联式空调油气平衡管路系统</t>
  </si>
  <si>
    <t>谭建明|余  凯|詹跃行|姜灿华|熊建国</t>
  </si>
  <si>
    <t>2007/04/13</t>
  </si>
  <si>
    <t>CN201110175976.9</t>
  </si>
  <si>
    <t>能改善换热工质流动均匀性的平行流换热器</t>
  </si>
  <si>
    <t>2011/06/28</t>
  </si>
  <si>
    <t>2013/07/31</t>
  </si>
  <si>
    <t>CN201110175964.6</t>
  </si>
  <si>
    <t>一种换热效率高的平行流换热器</t>
  </si>
  <si>
    <t>CN201010512693.4</t>
  </si>
  <si>
    <t>一种利于排水的换热器</t>
  </si>
  <si>
    <t>佐藤宪一郎|徐绍勇|刘阳|林飞</t>
  </si>
  <si>
    <t>2010/10/19</t>
  </si>
  <si>
    <t>CN200710027784.7</t>
  </si>
  <si>
    <t>热泵用换热器</t>
  </si>
  <si>
    <t>邢淑敏|梁祥飞|庄  嵘</t>
  </si>
  <si>
    <t>2007/09/19</t>
  </si>
  <si>
    <t>F28D  1/053</t>
  </si>
  <si>
    <t>1.96</t>
  </si>
  <si>
    <t>CN201010604107.9</t>
  </si>
  <si>
    <t>分体落地式空调器室内机的侧出风结构</t>
  </si>
  <si>
    <t>赵飞鹰|王锋柯|刘阳</t>
  </si>
  <si>
    <t>2013/05/08</t>
  </si>
  <si>
    <t>F24F 13/08</t>
  </si>
  <si>
    <t>CN99236996.7</t>
  </si>
  <si>
    <t>旋转式分体室内机</t>
  </si>
  <si>
    <t>朱江洪|陈建民|张辉|向以华</t>
  </si>
  <si>
    <t>1999/08/25</t>
  </si>
  <si>
    <t>2001/02/07</t>
  </si>
  <si>
    <t>CN201110175978.8</t>
  </si>
  <si>
    <t>CN201010545399.3</t>
  </si>
  <si>
    <t>以蓄电池作为辅助能源的空调系统的控制方法</t>
  </si>
  <si>
    <t>龙剑|李强|刘阳</t>
  </si>
  <si>
    <t>龙剑</t>
  </si>
  <si>
    <t>2010/11/09</t>
  </si>
  <si>
    <t>CN201110116220.7</t>
  </si>
  <si>
    <t>一种吸油烟机的离心风机叶轮</t>
  </si>
  <si>
    <t>梁之博|丁蛟|李志强|季俊生|黎本峰</t>
  </si>
  <si>
    <t>梁之博</t>
  </si>
  <si>
    <t>2011/05/06</t>
  </si>
  <si>
    <t>F04D 29/28</t>
  </si>
  <si>
    <t>CN200620053352.4</t>
  </si>
  <si>
    <t>降噪双吸离心风叶</t>
  </si>
  <si>
    <t>潘建红|梁社兵|刘利娜</t>
  </si>
  <si>
    <t>潘建红</t>
  </si>
  <si>
    <t>2006/01/06</t>
  </si>
  <si>
    <t>F04D 29/30</t>
  </si>
  <si>
    <t>CN201010019579.8</t>
  </si>
  <si>
    <t>李华明</t>
  </si>
  <si>
    <t>CN200820200682.0</t>
  </si>
  <si>
    <t>旋转式压缩机气缸</t>
  </si>
  <si>
    <t>杨志强</t>
  </si>
  <si>
    <t>2008/09/18</t>
  </si>
  <si>
    <t>2009/08/12</t>
  </si>
  <si>
    <t>CN201010121673.4</t>
  </si>
  <si>
    <t>一种部分PFC装置及其控制方法</t>
  </si>
  <si>
    <t>2010/03/04</t>
  </si>
  <si>
    <t>H02M  1/42</t>
  </si>
  <si>
    <t>CN200810025949.1</t>
  </si>
  <si>
    <t>半主动式有源功率因数校正器及校正方法</t>
  </si>
  <si>
    <t>张  辉|钟明生|李文灿|卓森庆</t>
  </si>
  <si>
    <t>2008/01/21</t>
  </si>
  <si>
    <t>2008/07/09</t>
  </si>
  <si>
    <t>2.18</t>
  </si>
  <si>
    <t>CN200910213810.4</t>
  </si>
  <si>
    <t>双缸式旋转压缩机的气缸组装调芯方法</t>
  </si>
  <si>
    <t>2009/12/10</t>
  </si>
  <si>
    <t>CN200810218636.8</t>
  </si>
  <si>
    <t>旋转式双缸压缩机泵体的装配方法</t>
  </si>
  <si>
    <t>黎法运|李建宾|陈迪松|刘益民</t>
  </si>
  <si>
    <t>2008/10/24</t>
  </si>
  <si>
    <t>CN200910192961.6</t>
  </si>
  <si>
    <t>三管制热回收空调系统</t>
  </si>
  <si>
    <t>李葛丰|冯源|刘红斌|邱适林</t>
  </si>
  <si>
    <t>李葛丰</t>
  </si>
  <si>
    <t>F25B 29/00</t>
  </si>
  <si>
    <t>CN200720051512.6</t>
  </si>
  <si>
    <t>可以同时制冷、制热和制热水的多联空调机组</t>
  </si>
  <si>
    <t>沈  军|林海佳|肖洪海|黄  强</t>
  </si>
  <si>
    <t>沈  军</t>
  </si>
  <si>
    <t>2007/05/12</t>
  </si>
  <si>
    <t>0.35</t>
  </si>
  <si>
    <t>CN201010589963.1</t>
  </si>
  <si>
    <t>立式空调器室内机的顶出风结构</t>
  </si>
  <si>
    <t>赵飞鹰|陈俊|王锋珂</t>
  </si>
  <si>
    <t>2012/09/12</t>
  </si>
  <si>
    <t>CN200920267321.2</t>
  </si>
  <si>
    <t>壁挂式空调器室内机</t>
  </si>
  <si>
    <t>张辉|钟明生|陈绍林|骆海|郑和清|王琳</t>
  </si>
  <si>
    <t>2009/10/22</t>
  </si>
  <si>
    <t>2010/10/27</t>
  </si>
  <si>
    <t>0.93</t>
  </si>
  <si>
    <t>CN200910192919.4</t>
  </si>
  <si>
    <t>一种变频空调器的控制方法</t>
  </si>
  <si>
    <t>袁兰浪|李强|罗宇华|朱良红|刘阳|孙铁军</t>
  </si>
  <si>
    <t>袁兰浪</t>
  </si>
  <si>
    <t>2012/08/22</t>
  </si>
  <si>
    <t>CN200910192520.6</t>
  </si>
  <si>
    <t>双缸旋转压缩机及其控制方法</t>
  </si>
  <si>
    <t>2009/09/15</t>
  </si>
  <si>
    <t>CN200710027689.7</t>
  </si>
  <si>
    <t>2008/10/29</t>
  </si>
  <si>
    <t>3.20</t>
  </si>
  <si>
    <t>CN200710027334.8</t>
  </si>
  <si>
    <t>可防伪防串货的电子条码的识别方法</t>
  </si>
  <si>
    <t>郑绪成|陈树波|刘杰</t>
  </si>
  <si>
    <t>郑绪成</t>
  </si>
  <si>
    <t>2007/03/29</t>
  </si>
  <si>
    <t>G06K</t>
  </si>
  <si>
    <t>G06K 17/00</t>
  </si>
  <si>
    <t>CN200510036426.3</t>
  </si>
  <si>
    <t>电子条码识别方法</t>
  </si>
  <si>
    <t>张辉|许蔡辉|李和辉|彭翎|陈胜蓝</t>
  </si>
  <si>
    <t>2005/08/08</t>
  </si>
  <si>
    <t>2006/03/15</t>
  </si>
  <si>
    <t>3.38</t>
  </si>
  <si>
    <t>CN2016/080702</t>
  </si>
  <si>
    <t>REVERSE OSMOSIS MEMBRANE ASSEMBLY AND MANUFACTURING METHOD THEREFOR</t>
  </si>
  <si>
    <t>SUN,Tianhou|CAI,Xuegang</t>
  </si>
  <si>
    <t>SUN,Tianhou</t>
  </si>
  <si>
    <t>2015/06/30</t>
  </si>
  <si>
    <t>2016/04/29</t>
  </si>
  <si>
    <t>2017/01/05</t>
  </si>
  <si>
    <t>B01D</t>
  </si>
  <si>
    <t>B01D 61/02</t>
  </si>
  <si>
    <t>CN201510718721.0</t>
  </si>
  <si>
    <t>多膜叶卷式膜元件及其制造方法</t>
  </si>
  <si>
    <t>秦利利|李一然</t>
  </si>
  <si>
    <t>秦利利</t>
  </si>
  <si>
    <t>2016/01/27</t>
  </si>
  <si>
    <t>B01D 63/10</t>
  </si>
  <si>
    <t>0.6</t>
  </si>
  <si>
    <t>公开</t>
  </si>
  <si>
    <t>CN2015/089559</t>
  </si>
  <si>
    <t>METHOD FOR TRACKING CONTROL OF MAXIMUM POWER POINT OF SOLAR CELL AND TRACKING DEVICE</t>
  </si>
  <si>
    <t>2015/09/14</t>
  </si>
  <si>
    <t>G05F</t>
  </si>
  <si>
    <t>G05F  1/67</t>
  </si>
  <si>
    <t>CN201410546470.8</t>
  </si>
  <si>
    <t>最大功率跟踪控制方法及装置</t>
  </si>
  <si>
    <t>游剑波|卓森庆|李发顺|张嘉鑫|马鑫</t>
  </si>
  <si>
    <t>游剑波</t>
  </si>
  <si>
    <t>2014/10/15</t>
  </si>
  <si>
    <t>2014/12/24</t>
  </si>
  <si>
    <t>CN2014/091949</t>
  </si>
  <si>
    <t>AUDIO SIGNAL-BASED AIR CONDITIONER OPERATING PARAMETER ADJUSTMENT METHOD AND SYSTEM</t>
  </si>
  <si>
    <t>CHENG,Dekai|LU,Yanhong</t>
  </si>
  <si>
    <t>CHENG,Dekai</t>
  </si>
  <si>
    <t>2014/06/26</t>
  </si>
  <si>
    <t>2014/11/21</t>
  </si>
  <si>
    <t>2015/12/30</t>
  </si>
  <si>
    <t>CN201320517145.X</t>
  </si>
  <si>
    <t>一种空调的语音控制系统</t>
  </si>
  <si>
    <t>毛跃辉|陶梦春|郑良剑</t>
  </si>
  <si>
    <t>毛跃辉</t>
  </si>
  <si>
    <t>2013/08/22</t>
  </si>
  <si>
    <t>2014/02/12</t>
  </si>
  <si>
    <t>CN2014/080882</t>
  </si>
  <si>
    <t>MOTOR STATOR AND MOTOR PROVIDED WITH SAME</t>
  </si>
  <si>
    <t>GUANGDONG WELLING MOTOR MANUFACTURING CO.,LTD.|美的集团有限公司</t>
  </si>
  <si>
    <t>guangdong welling motor manufacturing|美的集团有限公司</t>
  </si>
  <si>
    <t>WANG,Fei|ZHU,Jiadong|ZHU,Tingting|CHEN,Jintao</t>
  </si>
  <si>
    <t>WANG,Fei</t>
  </si>
  <si>
    <t>其他</t>
  </si>
  <si>
    <t>CN201110328233.0</t>
  </si>
  <si>
    <t>2012/03/14</t>
  </si>
  <si>
    <t>CN2014/070182</t>
  </si>
  <si>
    <t>AIR SUPPLY MECHANISM AND AIR CONDITIONER HAVING SAME</t>
  </si>
  <si>
    <t>MA,Chao|CHEN,Jun|WANG,Wuzhong|CHEN,Dashi</t>
  </si>
  <si>
    <t>MA,Chao</t>
  </si>
  <si>
    <t>2014/01/06</t>
  </si>
  <si>
    <t>2015/04/30</t>
  </si>
  <si>
    <t>CN201220164394.0</t>
  </si>
  <si>
    <t>柜式空调器</t>
  </si>
  <si>
    <t>曹雷|邹建煌|刘中杰|马重夫</t>
  </si>
  <si>
    <t>曹雷</t>
  </si>
  <si>
    <t>2012/04/17</t>
  </si>
  <si>
    <t>CN2013/090619</t>
  </si>
  <si>
    <t>DISASSEMBLY-PREVENTING PIPE-CONNECTING DEVICE AND AIR CONDITIONER HAVING SAME</t>
  </si>
  <si>
    <t>美的集团有限公司|LIU,ZHIYONG|LIU,GUOQIU</t>
  </si>
  <si>
    <t>美的集团有限公司|liu zhiyong|liu guoqiu</t>
  </si>
  <si>
    <t>LIU,Zhiyong|LIU,Guoqiu</t>
  </si>
  <si>
    <t>LIU,Zhiyong</t>
  </si>
  <si>
    <t>2013/12/27</t>
  </si>
  <si>
    <t>2015/02/05</t>
  </si>
  <si>
    <t>CN201220448302.1</t>
  </si>
  <si>
    <t>防拆卸接管接头组件、防拆卸接管装置及空调器</t>
  </si>
  <si>
    <t>2012/09/04</t>
  </si>
  <si>
    <t>CN2014/071287</t>
  </si>
  <si>
    <t>Method for automatically generating blank filling question and recording medium device for recording program for executing same</t>
  </si>
  <si>
    <t>美的集团有限公司|GUANGZHOU HUALING REFRIGERATING EQUIPMENT CO.,LTD.</t>
  </si>
  <si>
    <t>美的集团有限公司|guangzhou hualing refrigerating equipment</t>
  </si>
  <si>
    <t>ZHU,Maocheng|FENG,Hailong|YUN,Qian</t>
  </si>
  <si>
    <t>ZHU,Maocheng</t>
  </si>
  <si>
    <t>2014/01/23</t>
  </si>
  <si>
    <t>2015/01/08</t>
  </si>
  <si>
    <t>CN201220202511.8</t>
  </si>
  <si>
    <t>导风板驱动装置和具有该驱动装置的空调室内机</t>
  </si>
  <si>
    <t>张辉|陈绍林|王现林|孟智|张波</t>
  </si>
  <si>
    <t>2012/05/07</t>
  </si>
  <si>
    <t>0.55</t>
  </si>
  <si>
    <t>CN2013/087708</t>
  </si>
  <si>
    <t>Permanent magnet motor</t>
  </si>
  <si>
    <t>YUAN,Bang|WANG,Fei|GONG,Wensheng|CHEN,Jintao|ZHU,Z.Q.</t>
  </si>
  <si>
    <t>YUAN,Bang</t>
  </si>
  <si>
    <t>2013/05/13</t>
  </si>
  <si>
    <t>2013/11/22</t>
  </si>
  <si>
    <t>2014/11/20</t>
  </si>
  <si>
    <t>CN201220479088.6</t>
  </si>
  <si>
    <t>用于直流电机的定子和具有该定子的直流电机</t>
  </si>
  <si>
    <t>珠海格力电器股份有限公司|珠海凯邦电机制造有限公司|合肥凯邦电机有限公司|重庆凯邦电机有限公司|河南凯邦电机有限公司</t>
  </si>
  <si>
    <t>格力电器|格力电器|格力电器|格力电器|格力电器</t>
  </si>
  <si>
    <t>漆凌君|袁利军|王周叶</t>
  </si>
  <si>
    <t>漆凌君</t>
  </si>
  <si>
    <t>2012/09/18</t>
  </si>
  <si>
    <t>CN2012/087676</t>
  </si>
  <si>
    <t>Indoor unit of floor air conditioner and floor air conditioner</t>
  </si>
  <si>
    <t>美的集团有限公司|LI,WENDOU|ZHANG,ZHI|XU,ZHENG|QIN,QIANG|PAN,XINYUN|HUANG,CANBIN|SHEN,XIAOLIANG|GU,LEI|JIANG,FENG</t>
  </si>
  <si>
    <t>美的集团有限公司|li wendou|zhang zhi|xu zheng|qin qiang|pan xinyun|huang canbin|shen xiaoliang|gu lei|jiang feng</t>
  </si>
  <si>
    <t>LI,Wendou|ZHANG,Zhi|XU,Zheng|QIN,Qiang|PAN,Xinyun|HUANG,Canbin|SHEN,Xiaoliang|GU,Lei|JIANG,Feng</t>
  </si>
  <si>
    <t>LI,Wendou</t>
  </si>
  <si>
    <t>2012/04/19</t>
  </si>
  <si>
    <t>2012/12/27</t>
  </si>
  <si>
    <t>2013/10/24</t>
  </si>
  <si>
    <t>CN201020612615.7</t>
  </si>
  <si>
    <t>一种立式空调器</t>
  </si>
  <si>
    <t>张辉|陈绍林|孟宪运|丘晓宏|文超|陈国豪|余伟铬</t>
  </si>
  <si>
    <t>2010/11/17</t>
  </si>
  <si>
    <t>1.89</t>
  </si>
  <si>
    <t>CN2012/084524</t>
  </si>
  <si>
    <t>Indoor air-conditioning unit</t>
  </si>
  <si>
    <t>ZHANG,Wei|LI,Wendou|YOU,Bin|ZHOU,Bo|LIU,Yang|HUANG,Jianyun</t>
  </si>
  <si>
    <t>ZHANG,Wei</t>
  </si>
  <si>
    <t>2012/04/16</t>
  </si>
  <si>
    <t>2012/11/13</t>
  </si>
  <si>
    <t>CN201620077792.7</t>
  </si>
  <si>
    <t>一种空调室内机</t>
  </si>
  <si>
    <t>2016/01/26</t>
  </si>
  <si>
    <t>2016/08/31</t>
  </si>
  <si>
    <t>CN201210157804.3</t>
  </si>
  <si>
    <t>杜辉|苏运宇|王成</t>
  </si>
  <si>
    <t>2012/05/18</t>
  </si>
  <si>
    <t>CN201620077659.1</t>
  </si>
  <si>
    <t>一种室内空调机结构</t>
  </si>
  <si>
    <t>闫长林|刘智勇</t>
  </si>
  <si>
    <t>CN201521083125.1</t>
  </si>
  <si>
    <t>靳二兵|蔺勇智|毕姬成</t>
  </si>
  <si>
    <t>靳二兵</t>
  </si>
  <si>
    <t>2015/12/21</t>
  </si>
  <si>
    <t>F24F 13/30</t>
  </si>
  <si>
    <t>CN201320104931.7</t>
  </si>
  <si>
    <t>一种空调器及其板式换热器的固定支架</t>
  </si>
  <si>
    <t>麦志炜|李普良|宋培刚|黄春|陈泽彬|傅英胜</t>
  </si>
  <si>
    <t>麦志炜</t>
  </si>
  <si>
    <t>2013/03/07</t>
  </si>
  <si>
    <t>2013/08/14</t>
  </si>
  <si>
    <t>CN201610053488.3</t>
  </si>
  <si>
    <t>CN201520965206.8</t>
  </si>
  <si>
    <t>一种防水式电容安装装置</t>
  </si>
  <si>
    <t>2015/11/27</t>
  </si>
  <si>
    <t>H01G</t>
  </si>
  <si>
    <t>H01G  2/02</t>
  </si>
  <si>
    <t>CN201320281495.0</t>
  </si>
  <si>
    <t>电容装配装置及空调</t>
  </si>
  <si>
    <t>巴瑞涛|吴杰强|林青辉|王倩|杨文聪</t>
  </si>
  <si>
    <t>巴瑞涛</t>
  </si>
  <si>
    <t>2013/05/21</t>
  </si>
  <si>
    <t>2013/10/16</t>
  </si>
  <si>
    <t>CN201520892627.2</t>
  </si>
  <si>
    <t>一种用于空调器的顶盖网罩及含其的空调器</t>
  </si>
  <si>
    <t>郭石飞</t>
  </si>
  <si>
    <t>2015/11/09</t>
  </si>
  <si>
    <t>F24F  1/56</t>
  </si>
  <si>
    <t>CN201320765815.X</t>
  </si>
  <si>
    <t>上出风风机组件及空调器</t>
  </si>
  <si>
    <t>杜培丽|赵志伟|方祥建|黄才笋|龙来圣</t>
  </si>
  <si>
    <t>杜培丽</t>
  </si>
  <si>
    <t>2013/11/28</t>
  </si>
  <si>
    <t>2014/08/13</t>
  </si>
  <si>
    <t>F24F  1/38</t>
  </si>
  <si>
    <t>CN201520890447.0</t>
  </si>
  <si>
    <t>一种板式换热器的固定支架及含其的空调</t>
  </si>
  <si>
    <t>CN201520845798.X</t>
  </si>
  <si>
    <t>一种空调恒温除湿装置</t>
  </si>
  <si>
    <t>宋分平|吴空|侯泽飞</t>
  </si>
  <si>
    <t>宋分平</t>
  </si>
  <si>
    <t>2015/10/27</t>
  </si>
  <si>
    <t>CN201110268234.0</t>
  </si>
  <si>
    <t>空调器恒温除湿系统</t>
  </si>
  <si>
    <t>张辉|王平|刘明|高旭|吴星|郭丽环|黄泰明</t>
  </si>
  <si>
    <t>2011/09/09</t>
  </si>
  <si>
    <t>F25B 41/06</t>
  </si>
  <si>
    <t>CN201510852952.0</t>
  </si>
  <si>
    <t>CN201520646363.2</t>
  </si>
  <si>
    <t>一种带水加湿功能的空调挂机</t>
  </si>
  <si>
    <t>2015/08/25</t>
  </si>
  <si>
    <t>CN200720048094.5</t>
  </si>
  <si>
    <t>一种新型有水加湿空调</t>
  </si>
  <si>
    <t>马颖江|袁  琪|肖德玲|潘建红</t>
  </si>
  <si>
    <t>2007/01/27</t>
  </si>
  <si>
    <t>2008/01/09</t>
  </si>
  <si>
    <t>CN201510731895.0</t>
  </si>
  <si>
    <t>一种利用身型数据控制空调的方法及系统</t>
  </si>
  <si>
    <t>蔡効谦</t>
  </si>
  <si>
    <t>2015/10/30</t>
  </si>
  <si>
    <t>CN200910179847.X</t>
  </si>
  <si>
    <t>空调及空调控制方法</t>
  </si>
  <si>
    <t>袁琪|岳锐|胡晓宏</t>
  </si>
  <si>
    <t>2009/10/15</t>
  </si>
  <si>
    <t>CN201520648041.1</t>
  </si>
  <si>
    <t>一种上下出风壁挂式空调室内机</t>
  </si>
  <si>
    <t>黄剑云|张惟</t>
  </si>
  <si>
    <t>黄剑云</t>
  </si>
  <si>
    <t>2015/12/16</t>
  </si>
  <si>
    <t>CN201110329794.2</t>
  </si>
  <si>
    <t>上下出风空调器</t>
  </si>
  <si>
    <t>黄美玲|刘利娜</t>
  </si>
  <si>
    <t>黄美玲</t>
  </si>
  <si>
    <t>2011/10/26</t>
  </si>
  <si>
    <t>2013/05/01</t>
  </si>
  <si>
    <t>CN201520546534.4</t>
  </si>
  <si>
    <t>一种空调防鼠结构及含有其的空调</t>
  </si>
  <si>
    <t>陈湘新|刘建龙|李亮红</t>
  </si>
  <si>
    <t>陈湘新</t>
  </si>
  <si>
    <t>2015/07/24</t>
  </si>
  <si>
    <t>CN201210236542.X</t>
  </si>
  <si>
    <t>防鼠挡板结构及具有其的空调器</t>
  </si>
  <si>
    <t>张辉|陈绍林|叶务占|金海元|刘北泉|肖林辉|陈诚</t>
  </si>
  <si>
    <t>2014/01/29</t>
  </si>
  <si>
    <t>CN201510532501.9</t>
  </si>
  <si>
    <t>CN201520194534.2</t>
  </si>
  <si>
    <t>空调器滑动门机构及空调室内机</t>
  </si>
  <si>
    <t>钟志尧|陈俊|覃强|张力|李玉狮|彭代杰|高洪涛</t>
  </si>
  <si>
    <t>2015/03/31</t>
  </si>
  <si>
    <t>CN200710029243.8</t>
  </si>
  <si>
    <t>2007/07/15</t>
  </si>
  <si>
    <t>CN201520272464.8</t>
  </si>
  <si>
    <t>一种可控流量分配器及不换向连续除霜空调</t>
  </si>
  <si>
    <t>申立亮|杨瑞林|张浩|王伟平</t>
  </si>
  <si>
    <t>申立亮</t>
  </si>
  <si>
    <t>2015/04/29</t>
  </si>
  <si>
    <t>2015/09/23</t>
  </si>
  <si>
    <t>CN201110198523.8</t>
  </si>
  <si>
    <t>一种能够提高制热效果的空调系统及其化霜控制方法</t>
  </si>
  <si>
    <t>邵英|肖德玲|袁琪|翟丽华</t>
  </si>
  <si>
    <t>邵英</t>
  </si>
  <si>
    <t>CN201510214572.4</t>
  </si>
  <si>
    <t>一种不换向可自主连续除霜空调的控制方法及空调系统</t>
  </si>
  <si>
    <t>申立亮|杨瑞林|张浩|其他发明人请求不公开姓名</t>
  </si>
  <si>
    <t>2015/09/02</t>
  </si>
  <si>
    <t>CN201520202528.7</t>
  </si>
  <si>
    <t>一种带过冷装置的空调室外机系统</t>
  </si>
  <si>
    <t>李波|许永锋|熊美兵|杨元涛|万永强</t>
  </si>
  <si>
    <t>李波</t>
  </si>
  <si>
    <t>2015/04/03</t>
  </si>
  <si>
    <t>CN200910039505.8</t>
  </si>
  <si>
    <t>应用过冷器的空调系统及其制冷剂流量的控制方法</t>
  </si>
  <si>
    <t>张龙|刘煜|宋培刚|黄春|肖翰生|杨智峰</t>
  </si>
  <si>
    <t>2009/05/15</t>
  </si>
  <si>
    <t>3.29</t>
  </si>
  <si>
    <t>CN201410059037.1</t>
  </si>
  <si>
    <t>空调器睡眠参数曲线控制方法及装置</t>
  </si>
  <si>
    <t>陈建昌|曾祥兵</t>
  </si>
  <si>
    <t>2014/02/20</t>
  </si>
  <si>
    <t>CN201410056732.2</t>
  </si>
  <si>
    <t>加湿装置及应用该装置的空调器</t>
  </si>
  <si>
    <t>杨国忠|徐江康</t>
  </si>
  <si>
    <t>杨国忠</t>
  </si>
  <si>
    <t>2014/02/19</t>
  </si>
  <si>
    <t>CN201010239637.8</t>
  </si>
  <si>
    <t>能够独立控制温度、湿度的空调</t>
  </si>
  <si>
    <t>肖德玲|袁琪|岳锐</t>
  </si>
  <si>
    <t>肖德玲</t>
  </si>
  <si>
    <t>2010/07/28</t>
  </si>
  <si>
    <t>2012/02/01</t>
  </si>
  <si>
    <t>CN201310666988.0</t>
  </si>
  <si>
    <t>自然风空调及其控制装置和控制方法</t>
  </si>
  <si>
    <t>霍军亚|张武军</t>
  </si>
  <si>
    <t>2013/12/09</t>
  </si>
  <si>
    <t>2015/06/10</t>
  </si>
  <si>
    <t>CN200510036676.7</t>
  </si>
  <si>
    <t>自然风空调和自然风的实现方法</t>
  </si>
  <si>
    <t>袁琪|张有林|肖德玲|李海英</t>
  </si>
  <si>
    <t>2005/08/24</t>
  </si>
  <si>
    <t>CN201410835723.3</t>
  </si>
  <si>
    <t>空调器温度应力的监控方法和系统</t>
  </si>
  <si>
    <t>胡爱斌|黄国超</t>
  </si>
  <si>
    <t>胡爱斌</t>
  </si>
  <si>
    <t>2014/12/26</t>
  </si>
  <si>
    <t>CN200610036356.6</t>
  </si>
  <si>
    <t>具备远程定位功能的空调系统及其控制器和控制方法</t>
  </si>
  <si>
    <t>董明珠|马颖江|金钢|曾亮|余锐生</t>
  </si>
  <si>
    <t>董明珠</t>
  </si>
  <si>
    <t>2007/01/03</t>
  </si>
  <si>
    <t>H04M</t>
  </si>
  <si>
    <t>H04M 11/00</t>
  </si>
  <si>
    <t>7.31</t>
  </si>
  <si>
    <t>2015/03/18</t>
  </si>
  <si>
    <t>CN201420142202.5</t>
  </si>
  <si>
    <t>CN201420011110.3</t>
  </si>
  <si>
    <t>两级压缩旋转压缩机及其泵体组件以及空调系统</t>
  </si>
  <si>
    <t>廖四清|冯利伟</t>
  </si>
  <si>
    <t>廖四清</t>
  </si>
  <si>
    <t>2014/01/08</t>
  </si>
  <si>
    <t>CN201220150545.7</t>
  </si>
  <si>
    <t>压缩机、具有该压缩机的空调系统以及热泵热水器系统</t>
  </si>
  <si>
    <t>魏会军|李万涛</t>
  </si>
  <si>
    <t>魏会军</t>
  </si>
  <si>
    <t>2012/04/10</t>
  </si>
  <si>
    <t>4.54</t>
  </si>
  <si>
    <t>2014/06/18</t>
  </si>
  <si>
    <t>CN201410009518.1</t>
  </si>
  <si>
    <t>2014/04/16</t>
  </si>
  <si>
    <t>CN201320598444.0</t>
  </si>
  <si>
    <t>出风框滑动门滑动结构和空调器</t>
  </si>
  <si>
    <t>2013/09/26</t>
  </si>
  <si>
    <t>CN201320335329.4</t>
  </si>
  <si>
    <t>空气能热水器</t>
  </si>
  <si>
    <t>莫祖栋|饶荣水|姜国明</t>
  </si>
  <si>
    <t>莫祖栋</t>
  </si>
  <si>
    <t>2013/06/09</t>
  </si>
  <si>
    <t>CN201120037407.3</t>
  </si>
  <si>
    <t>空气源热泵热水器</t>
  </si>
  <si>
    <t>雍文涛</t>
  </si>
  <si>
    <t>2011/02/12</t>
  </si>
  <si>
    <t>1.37</t>
  </si>
  <si>
    <t>2013/08/07</t>
  </si>
  <si>
    <t>CN201220576104.3</t>
  </si>
  <si>
    <t>翅片、平行流蒸发器及家用空调柜机</t>
  </si>
  <si>
    <t>李丰|程志明|华龙|岑晓维|黄小军</t>
  </si>
  <si>
    <t>李丰</t>
  </si>
  <si>
    <t>2012/11/02</t>
  </si>
  <si>
    <t>F28F  3/02</t>
  </si>
  <si>
    <t>CN201220031480.4</t>
  </si>
  <si>
    <t>一种柜式空调机</t>
  </si>
  <si>
    <t>张辉|陈绍林|熊军|段亮|黄高泉|高智强|孟琪林</t>
  </si>
  <si>
    <t>CN201220445073.8</t>
  </si>
  <si>
    <t>电风扇的摇头调节结构</t>
  </si>
  <si>
    <t>韩永立|何国用</t>
  </si>
  <si>
    <t>韩永立</t>
  </si>
  <si>
    <t>CN201020675702.7</t>
  </si>
  <si>
    <t>电风扇的头部摆角调节机构</t>
  </si>
  <si>
    <t>珠海格力电器股份有限公司|格力电器（中山）小家电制造有限公司</t>
  </si>
  <si>
    <t>陈宇强|李曙光|周毅峰</t>
  </si>
  <si>
    <t>陈宇强</t>
  </si>
  <si>
    <t>2011/09/21</t>
  </si>
  <si>
    <t>F04D 25/10</t>
  </si>
  <si>
    <t>CN201220346168.4</t>
  </si>
  <si>
    <t>落地式空调室内机包装装置</t>
  </si>
  <si>
    <t>侯欢|廖国瑾</t>
  </si>
  <si>
    <t>侯欢</t>
  </si>
  <si>
    <t>2012/07/17</t>
  </si>
  <si>
    <t>CN201020546311.5</t>
  </si>
  <si>
    <t>包装纸托及柜机包装结构</t>
  </si>
  <si>
    <t>彭湘华|黄胜文|张雄飞|汤志平</t>
  </si>
  <si>
    <t>彭湘华</t>
  </si>
  <si>
    <t>2010/09/27</t>
  </si>
  <si>
    <t>B65D 81/05</t>
  </si>
  <si>
    <t>CN201220307825.4</t>
  </si>
  <si>
    <t>一种空调器室内机</t>
  </si>
  <si>
    <t>黎文斗|蔡序杰|张智|周拨</t>
  </si>
  <si>
    <t>黎文斗</t>
  </si>
  <si>
    <t>2012/06/28</t>
  </si>
  <si>
    <t>CN201120124552.5</t>
  </si>
  <si>
    <t>王平|吴星</t>
  </si>
  <si>
    <t>2011/04/25</t>
  </si>
  <si>
    <t>CN201220159644.1</t>
  </si>
  <si>
    <t>一种冷水机组用可调节流装置</t>
  </si>
  <si>
    <t>重庆美的通用制冷设备有限公司</t>
  </si>
  <si>
    <t>夏雨亮|梁路军|王武平|王正华|谷彦涛</t>
  </si>
  <si>
    <t>CN201120210468.5</t>
  </si>
  <si>
    <t>一种孔板节流装置</t>
  </si>
  <si>
    <t>李宏波</t>
  </si>
  <si>
    <t>2011/06/21</t>
  </si>
  <si>
    <t>2012/01/04</t>
  </si>
  <si>
    <t>2.19</t>
  </si>
  <si>
    <t>CN201210124294.X</t>
  </si>
  <si>
    <t>具有消声功能的过滤器及使用该过滤器的空调机</t>
  </si>
  <si>
    <t>吴彦东|邓建云|伍光辉|郭军|卢细杰</t>
  </si>
  <si>
    <t>吴彦东</t>
  </si>
  <si>
    <t>2012/04/24</t>
  </si>
  <si>
    <t>2012/11/14</t>
  </si>
  <si>
    <t>F24F 13/28</t>
  </si>
  <si>
    <t>2.77</t>
  </si>
  <si>
    <t>CN200620062030.6</t>
  </si>
  <si>
    <t>空调用脉动消声器</t>
  </si>
  <si>
    <t>梁卫雄|黎展善</t>
  </si>
  <si>
    <t>梁卫雄</t>
  </si>
  <si>
    <t>2006/07/25</t>
  </si>
  <si>
    <t>CN201220044286.X</t>
  </si>
  <si>
    <t>集中卷电机</t>
  </si>
  <si>
    <t>王腾飞</t>
  </si>
  <si>
    <t>2012/02/10</t>
  </si>
  <si>
    <t>CN200920353289.X</t>
  </si>
  <si>
    <t>绝缘骨架及包含该绝缘骨架的集中卷电机</t>
  </si>
  <si>
    <t>陈彬|胡余生|陈东锁</t>
  </si>
  <si>
    <t>陈彬</t>
  </si>
  <si>
    <t>2009/12/31</t>
  </si>
  <si>
    <t>2011/10/12</t>
  </si>
  <si>
    <t>H02K  3/38</t>
  </si>
  <si>
    <t>CN201120561712.2</t>
  </si>
  <si>
    <t>空调器的热交换器</t>
  </si>
  <si>
    <t>邱国策|吴加生</t>
  </si>
  <si>
    <t>邱国策</t>
  </si>
  <si>
    <t>CN201020168118.2</t>
  </si>
  <si>
    <t>三折蒸发器及具有其的壁挂式空调器</t>
  </si>
  <si>
    <t>张辉|陈绍林|杨检群|暨文伟|孟智|黎建|曹流</t>
  </si>
  <si>
    <t>2.1</t>
  </si>
  <si>
    <t>CN201210062654.8</t>
  </si>
  <si>
    <t>空调器室内机面板</t>
  </si>
  <si>
    <t>陈子雄|黄维海|季振勤|梁勇华|朱建国</t>
  </si>
  <si>
    <t>陈子雄</t>
  </si>
  <si>
    <t>CN200920179751.9</t>
  </si>
  <si>
    <t>壁挂式空调器室内机及其面板运动机构</t>
  </si>
  <si>
    <t>CN201120471732.0</t>
  </si>
  <si>
    <t>挂壁式空调器的室内机</t>
  </si>
  <si>
    <t>张智|伍光辉|黎文斗|周拨|陈新厂</t>
  </si>
  <si>
    <t>张智</t>
  </si>
  <si>
    <t>2011/11/23</t>
  </si>
  <si>
    <t>CN201120025620.2</t>
  </si>
  <si>
    <t>CN201120284653.9</t>
  </si>
  <si>
    <t>陈睿</t>
  </si>
  <si>
    <t>2011/08/05</t>
  </si>
  <si>
    <t>2012/05/02</t>
  </si>
  <si>
    <t>CN200520055228.7</t>
  </si>
  <si>
    <t>柜式多出风口空调器</t>
  </si>
  <si>
    <t>张辉|王文斌|姚行|刘北泉|孟宪运|吴欢龙</t>
  </si>
  <si>
    <t>2005/03/04</t>
  </si>
  <si>
    <t>2006/04/05</t>
  </si>
  <si>
    <t>CN201120284595.X</t>
  </si>
  <si>
    <t>陈睿|李向阳|吴君</t>
  </si>
  <si>
    <t>CN201120284484.9</t>
  </si>
  <si>
    <t>一种旋转式压缩机</t>
  </si>
  <si>
    <t>安徽美芝精密制造有限公司</t>
  </si>
  <si>
    <t>吴延平|李盖敏</t>
  </si>
  <si>
    <t>吴延平</t>
  </si>
  <si>
    <t>CN201020230147.7</t>
  </si>
  <si>
    <t>一种旋转压缩机</t>
  </si>
  <si>
    <t>郝唯|谢利昌|黄云|安吉阁</t>
  </si>
  <si>
    <t>郝唯</t>
  </si>
  <si>
    <t>2010/06/18</t>
  </si>
  <si>
    <t>2011/03/09</t>
  </si>
  <si>
    <t>F04C 21/00</t>
  </si>
  <si>
    <t>CN201120262368.7</t>
  </si>
  <si>
    <t>CN201120247887.6</t>
  </si>
  <si>
    <t>一种使用可燃冷媒的空调器</t>
  </si>
  <si>
    <t>2012/04/11</t>
  </si>
  <si>
    <t>1.46</t>
  </si>
  <si>
    <t>CN201120173702.1</t>
  </si>
  <si>
    <t>滑动门的定位装置</t>
  </si>
  <si>
    <t>钟志尧|陈俊|汤展跃</t>
  </si>
  <si>
    <t>2012/01/18</t>
  </si>
  <si>
    <t>CN200720049679.9</t>
  </si>
  <si>
    <t>空调用防偏滑动门</t>
  </si>
  <si>
    <t>孟宪运|武  芳</t>
  </si>
  <si>
    <t>2007/03/27</t>
  </si>
  <si>
    <t>2008/02/13</t>
  </si>
  <si>
    <t>CN201120172696.8</t>
  </si>
  <si>
    <t>带滑动门的空调器</t>
  </si>
  <si>
    <t>CN201120172030.2</t>
  </si>
  <si>
    <t>一种使用可燃性制冷剂的空调器</t>
  </si>
  <si>
    <t>F24F  1/22</t>
  </si>
  <si>
    <t>CN201120202367.3</t>
  </si>
  <si>
    <t>压缩机电机用漆包线</t>
  </si>
  <si>
    <t>戎谨</t>
  </si>
  <si>
    <t>2011/06/15</t>
  </si>
  <si>
    <t>H01B</t>
  </si>
  <si>
    <t>H01B  7/04</t>
  </si>
  <si>
    <t>CN201020501171.X</t>
  </si>
  <si>
    <t>变频压缩机用漆包线</t>
  </si>
  <si>
    <t>珠海格力电工有限公司</t>
  </si>
  <si>
    <t>庄敬湖|马红杰</t>
  </si>
  <si>
    <t>庄敬湖</t>
  </si>
  <si>
    <t>2010/08/23</t>
  </si>
  <si>
    <t>CN201120172012.4</t>
  </si>
  <si>
    <t>使用可燃冷媒的空调器</t>
  </si>
  <si>
    <t>CN201110224607.4</t>
  </si>
  <si>
    <t>0.75</t>
  </si>
  <si>
    <t>2011/12/07</t>
  </si>
  <si>
    <t>一种使用可燃性制冷剂的空调器及其控制方法</t>
  </si>
  <si>
    <t>CN201120075654.2</t>
  </si>
  <si>
    <t>一种空调器的隐藏式显示结构</t>
  </si>
  <si>
    <t>向毅|肖波|黄贵华</t>
  </si>
  <si>
    <t>向毅</t>
  </si>
  <si>
    <t>2011/03/22</t>
  </si>
  <si>
    <t>CN200620065676.X</t>
  </si>
  <si>
    <t>空调器的隐藏式显示操控面板装置</t>
  </si>
  <si>
    <t>张  辉|吴欢龙|孟宪运|刘北泉|谢  翔|文旷瑜</t>
  </si>
  <si>
    <t>2006/10/13</t>
  </si>
  <si>
    <t>2007/10/17</t>
  </si>
  <si>
    <t>CN201120074612.7</t>
  </si>
  <si>
    <t>一种空调控制器的安装结构</t>
  </si>
  <si>
    <t>梁勇华|陈子雄</t>
  </si>
  <si>
    <t>梁勇华</t>
  </si>
  <si>
    <t>2011/03/21</t>
  </si>
  <si>
    <t>CN200920178945.7</t>
  </si>
  <si>
    <t>空调控制器安装支架及空调主板组件</t>
  </si>
  <si>
    <t>张辉|钟明生|陈绍林|熊军|孟智</t>
  </si>
  <si>
    <t>2009/09/29</t>
  </si>
  <si>
    <t>CN201110031360.4</t>
  </si>
  <si>
    <t>一种防窜货的实现方法</t>
  </si>
  <si>
    <t>黄兵|王健全|房振|梁三林|吴宗林|雷俊|麻百忠</t>
  </si>
  <si>
    <t>黄兵</t>
  </si>
  <si>
    <t>2011/01/28</t>
  </si>
  <si>
    <t>2011/08/03</t>
  </si>
  <si>
    <t>G06K  1/12</t>
  </si>
  <si>
    <t>CN200910214409.2</t>
  </si>
  <si>
    <t>一种内置式空调器室内机</t>
  </si>
  <si>
    <t>陈良锐|刘阳</t>
  </si>
  <si>
    <t>陈良锐</t>
  </si>
  <si>
    <t>2011/05/25</t>
  </si>
  <si>
    <t>CN200820044829.1</t>
  </si>
  <si>
    <t>厨房空调器</t>
  </si>
  <si>
    <t>张  辉|钟明生|孟宪运|张玉忠|丘晓宏</t>
  </si>
  <si>
    <t>2008/03/12</t>
  </si>
  <si>
    <t>2009/02/18</t>
  </si>
  <si>
    <t>CN201020288238.6</t>
  </si>
  <si>
    <t>孔板节流装置</t>
  </si>
  <si>
    <t>茹志鹏|林国勇</t>
  </si>
  <si>
    <t>茹志鹏</t>
  </si>
  <si>
    <t>2010/08/04</t>
  </si>
  <si>
    <t>CN200520055920.X</t>
  </si>
  <si>
    <t>一种具有新型节流元件的螺杆满液式冷水机组</t>
  </si>
  <si>
    <t>姜灿华|王峰</t>
  </si>
  <si>
    <t>姜灿华</t>
  </si>
  <si>
    <t>2005/03/23</t>
  </si>
  <si>
    <t>1.87</t>
  </si>
  <si>
    <t>CN201010586867.1</t>
  </si>
  <si>
    <t>适应多种场合的空调器自动控制方法</t>
  </si>
  <si>
    <t>霍军亚|付新|于光|申晓亮|张武军</t>
  </si>
  <si>
    <t>2010/12/14</t>
  </si>
  <si>
    <t>2011/04/20</t>
  </si>
  <si>
    <t>0.45</t>
  </si>
  <si>
    <t>2011/04/13</t>
  </si>
  <si>
    <t>CN201010571976.6</t>
  </si>
  <si>
    <t>一种空调器及其操作方法</t>
  </si>
  <si>
    <t>张桃|龙剑</t>
  </si>
  <si>
    <t>2010/12/02</t>
  </si>
  <si>
    <t>CN200720057741.9</t>
  </si>
  <si>
    <t>一种自动除尘空调器</t>
  </si>
  <si>
    <t>张  辉|钟明生|宋德超|童海东|朱云青|张  磊</t>
  </si>
  <si>
    <t>2007/09/29</t>
  </si>
  <si>
    <t>F24F  3/16</t>
  </si>
  <si>
    <t>CN201010503254.7</t>
  </si>
  <si>
    <t>热交换器及其制造方法以及具备该热交换器的房间空调器</t>
  </si>
  <si>
    <t>李丰|程志明|黄小军</t>
  </si>
  <si>
    <t>2010/09/30</t>
  </si>
  <si>
    <t>CN200920237269.6</t>
  </si>
  <si>
    <t>空调用换热器</t>
  </si>
  <si>
    <t>马颖江|庄嵘|王红霞|梁祥飞|郭莉钰|曹泽标|史长满|叶强蔚</t>
  </si>
  <si>
    <t>2009/10/09</t>
  </si>
  <si>
    <t>F25B 39/04</t>
  </si>
  <si>
    <t>CN200920295807.7</t>
  </si>
  <si>
    <t>内置式空调器室内机</t>
  </si>
  <si>
    <t>2011/02/16</t>
  </si>
  <si>
    <t>CN201020226215.2</t>
  </si>
  <si>
    <t>压缩机用永磁同步电动机</t>
  </si>
  <si>
    <t>邱小华|胡健华|于阳波</t>
  </si>
  <si>
    <t>邱小华</t>
  </si>
  <si>
    <t>2010/06/17</t>
  </si>
  <si>
    <t>H02K 21/14</t>
  </si>
  <si>
    <t>CN200920265467.3</t>
  </si>
  <si>
    <t>空调面板的支撑结构</t>
  </si>
  <si>
    <t>张卫东|苏炳超</t>
  </si>
  <si>
    <t>张卫东</t>
  </si>
  <si>
    <t>2009/12/19</t>
  </si>
  <si>
    <t>2010/11/24</t>
  </si>
  <si>
    <t>CN200820181419.1</t>
  </si>
  <si>
    <t>一种用于空调面板的支撑装置</t>
  </si>
  <si>
    <t>向以华|聂旺辉</t>
  </si>
  <si>
    <t>向以华</t>
  </si>
  <si>
    <t>2008/12/17</t>
  </si>
  <si>
    <t>2009/10/21</t>
  </si>
  <si>
    <t>CN200920236560.1</t>
  </si>
  <si>
    <t>冷媒流向转换装置</t>
  </si>
  <si>
    <t>林铖志|李葛丰|冯源|刘红斌|邱适林|吴彦东</t>
  </si>
  <si>
    <t>林铖志</t>
  </si>
  <si>
    <t>CN200720154167.9</t>
  </si>
  <si>
    <t>冷媒流向转换装置及具有该装置的热水多联机</t>
  </si>
  <si>
    <t>沈  军|肖洪海|林海佳</t>
  </si>
  <si>
    <t>2007/05/24</t>
  </si>
  <si>
    <t>2008/03/05</t>
  </si>
  <si>
    <t>CN200910213763.3</t>
  </si>
  <si>
    <t>防伪防串货的电子条码的实现方法</t>
  </si>
  <si>
    <t>黄兵|王健全|梁三林|卢超齐</t>
  </si>
  <si>
    <t>2010/06/16</t>
  </si>
  <si>
    <t>CN200920193759.0</t>
  </si>
  <si>
    <t>空调器的面板装置</t>
  </si>
  <si>
    <t>王帆|祝琴华|王浩涛</t>
  </si>
  <si>
    <t>王帆</t>
  </si>
  <si>
    <t>2009/08/25</t>
  </si>
  <si>
    <t>2010/05/19</t>
  </si>
  <si>
    <t>CN200720055697.8</t>
  </si>
  <si>
    <t>一种磁吸机构及使用磁吸机构的空调器</t>
  </si>
  <si>
    <t>张  辉|黄昌铎|李德鹏|古汤汤|姚  行|练俊兵|柳  明</t>
  </si>
  <si>
    <t>2007/08/17</t>
  </si>
  <si>
    <t>CN200920056799.0</t>
  </si>
  <si>
    <t>厨房用空调器的室内机</t>
  </si>
  <si>
    <t>程竑理|刘智勇|刘阳|陈良锐</t>
  </si>
  <si>
    <t>2009/05/13</t>
  </si>
  <si>
    <t>CN200920055391.1</t>
  </si>
  <si>
    <t>一种多叶片离心风轮</t>
  </si>
  <si>
    <t>游  斌|李跃飞|马丽华</t>
  </si>
  <si>
    <t>游  斌</t>
  </si>
  <si>
    <t>2009/04/24</t>
  </si>
  <si>
    <t>2010/02/17</t>
  </si>
  <si>
    <t>CN200920051294.5</t>
  </si>
  <si>
    <t>管翅式换热器</t>
  </si>
  <si>
    <t>贾庆贤|杨九铭|张  智|赵夫峰|曾昭顺</t>
  </si>
  <si>
    <t>贾庆贤</t>
  </si>
  <si>
    <t>2009/02/17</t>
  </si>
  <si>
    <t>2010/01/13</t>
  </si>
  <si>
    <t>CN200720054033.X</t>
  </si>
  <si>
    <t>一种非对称开缝翅片管换热器</t>
  </si>
  <si>
    <t>邢淑敏|梁祥飞|刘中杰|庄  嵘</t>
  </si>
  <si>
    <t>2007/07/12</t>
  </si>
  <si>
    <t>2008/05/14</t>
  </si>
  <si>
    <t>F28F  1/12</t>
  </si>
  <si>
    <t>CN200820203701.5</t>
  </si>
  <si>
    <t>分体落地式空调器的室内机</t>
  </si>
  <si>
    <t>刘海廷|邱向伟|陈  俊</t>
  </si>
  <si>
    <t>刘海廷</t>
  </si>
  <si>
    <t>2008/11/15</t>
  </si>
  <si>
    <t>2009/11/18</t>
  </si>
  <si>
    <t>CN200720058186.1</t>
  </si>
  <si>
    <t>分体落地式空调器室内机</t>
  </si>
  <si>
    <t>张  辉|钟明生|孟宪运|吴锦平|张玉忠|段华锋|刘仁东</t>
  </si>
  <si>
    <t>2007/10/12</t>
  </si>
  <si>
    <t>刘  阳|毛先友|高  玲</t>
  </si>
  <si>
    <t>刘  阳</t>
  </si>
  <si>
    <t>CN200820204842.9</t>
  </si>
  <si>
    <t>分体落地式空调器的导风装置</t>
  </si>
  <si>
    <t>2008/12/02</t>
  </si>
  <si>
    <t>0.25</t>
  </si>
  <si>
    <t>CN200720059701.8</t>
  </si>
  <si>
    <t>一种采用新型风道系统的分体落地式空调器</t>
  </si>
  <si>
    <t>张  辉|钟明生|刘北泉|王朝新|甄伟磊</t>
  </si>
  <si>
    <t>2007/11/16</t>
  </si>
  <si>
    <t>CN200820200973.X</t>
  </si>
  <si>
    <t>分体落地式空调室内机的加湿装置</t>
  </si>
  <si>
    <t>刘海廷|舒乐华|马  军|陈  俊</t>
  </si>
  <si>
    <t>2008/09/19</t>
  </si>
  <si>
    <t>F24F  6/12</t>
  </si>
  <si>
    <t>CN200720058916.8</t>
  </si>
  <si>
    <t>加湿式分体落地空调器室内机</t>
  </si>
  <si>
    <t>马颖江|肖德玲|袁  琪</t>
  </si>
  <si>
    <t>2007/10/30</t>
  </si>
  <si>
    <t>2008/09/03</t>
  </si>
  <si>
    <t>CN200820200341.3</t>
  </si>
  <si>
    <t>空调器的导风装置</t>
  </si>
  <si>
    <t>凌建平|李群明|张裕兆</t>
  </si>
  <si>
    <t>凌建平</t>
  </si>
  <si>
    <t>2008/09/06</t>
  </si>
  <si>
    <t>2009/08/19</t>
  </si>
  <si>
    <t>CN03226023.7</t>
  </si>
  <si>
    <t>刘雁斌|黄昌铎|梁亚国|陈绍林</t>
  </si>
  <si>
    <t>刘雁斌</t>
  </si>
  <si>
    <t>2003/05/13</t>
  </si>
  <si>
    <t>2004/04/28</t>
  </si>
  <si>
    <t>3.31</t>
  </si>
  <si>
    <t>CN200910037218.3</t>
  </si>
  <si>
    <t>一种管翅式换热器</t>
  </si>
  <si>
    <t>2009/08/05</t>
  </si>
  <si>
    <t>F28F  1/30</t>
  </si>
  <si>
    <t>CN200820200843.6</t>
  </si>
  <si>
    <t>一种空调器的导风装置</t>
  </si>
  <si>
    <t>CN200820200842.1</t>
  </si>
  <si>
    <t>分体落地式空调器的面板装置</t>
  </si>
  <si>
    <t>CN200720058079.9</t>
  </si>
  <si>
    <t>张  辉|钟明生|孟宪运|文  超|陈  伟|胡  胜</t>
  </si>
  <si>
    <t>2007/10/09</t>
  </si>
  <si>
    <t>CN200820051946.0</t>
  </si>
  <si>
    <t>分体式空气源水循环的热泵热水器</t>
  </si>
  <si>
    <t>曹明修|梁伟钊|骆名文</t>
  </si>
  <si>
    <t>曹明修</t>
  </si>
  <si>
    <t>2008/08/03</t>
  </si>
  <si>
    <t>CN200720048415.1</t>
  </si>
  <si>
    <t>即热和蓄热功能相结合的热泵热水系统</t>
  </si>
  <si>
    <t>张  桃|庄  嵘|柳  飞|陈  波</t>
  </si>
  <si>
    <t>2007/02/03</t>
  </si>
  <si>
    <t>3.19</t>
  </si>
  <si>
    <t>CN200810219219.5</t>
  </si>
  <si>
    <t>一种热泵空调</t>
  </si>
  <si>
    <t>林于拉|王  坚</t>
  </si>
  <si>
    <t>林于拉</t>
  </si>
  <si>
    <t>2008/11/14</t>
  </si>
  <si>
    <t>2009/04/29</t>
  </si>
  <si>
    <t>F25B 30/02</t>
  </si>
  <si>
    <t>CN200820098447.7</t>
  </si>
  <si>
    <t>一种电风扇遥控器的安放装置</t>
  </si>
  <si>
    <t>刘维亮|邓建平</t>
  </si>
  <si>
    <t>刘维亮</t>
  </si>
  <si>
    <t>2008/05/24</t>
  </si>
  <si>
    <t>2009/03/04</t>
  </si>
  <si>
    <t>F04D 29/00</t>
  </si>
  <si>
    <t>CN99236821.9</t>
  </si>
  <si>
    <t>珠海格力雅达电器厂</t>
  </si>
  <si>
    <t>蒋禄建</t>
  </si>
  <si>
    <t>1999/08/04</t>
  </si>
  <si>
    <t>2000/11/08</t>
  </si>
  <si>
    <t>CN200720179220.0</t>
  </si>
  <si>
    <t>分体落地式空调器前出风口的开关门机构</t>
  </si>
  <si>
    <t>李向阳|程宏理|焦明生</t>
  </si>
  <si>
    <t>2007/12/30</t>
  </si>
  <si>
    <t>CN200620059398.7</t>
  </si>
  <si>
    <t>朱江洪|张  辉|孟宪运|刘北泉|张玉忠|段华锋</t>
  </si>
  <si>
    <t>2006/05/25</t>
  </si>
  <si>
    <t>2007/05/30</t>
  </si>
  <si>
    <t>4.33</t>
  </si>
  <si>
    <t>郑绪成|陈树波|刘  杰</t>
  </si>
  <si>
    <t>F24C</t>
  </si>
  <si>
    <t>F24C  7/00</t>
  </si>
  <si>
    <t>CN99236414.0</t>
  </si>
  <si>
    <t>一种柜式空调器室内机</t>
  </si>
  <si>
    <t>广东美的集团股份有限公司</t>
  </si>
  <si>
    <t>金培耕|黄剑峰</t>
  </si>
  <si>
    <t>金培耕</t>
  </si>
  <si>
    <t>1999/06/24</t>
  </si>
  <si>
    <t>2000/06/21</t>
  </si>
  <si>
    <t>CN93234827.0</t>
  </si>
  <si>
    <t>带灯饰的单元式空气调节机</t>
  </si>
  <si>
    <t>王少朋|吴晓剑|陈建民</t>
  </si>
  <si>
    <t>王少朋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</si>
</sst>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Calibri"/>
      <family val="2"/>
      <charset val="134"/>
    </font>
    <font>
      <b/>
      <sz val="10"/>
      <color theme="1"/>
      <name val="Calibri"/>
      <family val="2"/>
      <charset val="134"/>
    </font>
    <font>
      <b/>
      <sz val="10"/>
      <color theme="1"/>
      <name val="Georgia"/>
      <family val="2"/>
      <charset val="134"/>
    </font>
    <font>
      <sz val="10"/>
      <color rgb="FF0070C0"/>
      <name val="Calibri"/>
      <family val="2"/>
      <charset val="134"/>
    </font>
    <font>
      <sz val="9"/>
      <name val="Calibri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E7F9E8"/>
        <bgColor indexed="64"/>
      </patternFill>
    </fill>
    <fill>
      <patternFill patternType="solid">
        <fgColor rgb="FF60AA14"/>
        <bgColor indexed="64"/>
      </patternFill>
    </fill>
  </fills>
  <borders count="2">
    <border>
      <left/>
      <right/>
      <top/>
      <bottom/>
      <diagonal/>
    </border>
    <border>
      <left style="thin">
        <color rgb="FF99CC00"/>
      </left>
      <right style="thin">
        <color rgb="FF99CC00"/>
      </right>
      <top style="thin">
        <color rgb="FF99CC00"/>
      </top>
      <bottom style="thin">
        <color rgb="FF99CC00"/>
      </bottom>
      <diagonal style="thin">
        <color rgb="FF99CC00"/>
      </diagonal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6"/>
  <sheetViews>
    <sheetView tabSelected="1" workbookViewId="0">
      <pane ySplit="2" topLeftCell="A3" activePane="bottomLeft" state="frozen"/>
      <selection pane="bottomLeft" activeCell="E3" sqref="E3"/>
    </sheetView>
  </sheetViews>
  <sheetFormatPr defaultRowHeight="12.75" x14ac:dyDescent="0.2"/>
  <cols>
    <col min="1" max="1" width="15" customWidth="1"/>
    <col min="2" max="2" width="18" customWidth="1"/>
    <col min="3" max="3" width="30" customWidth="1"/>
    <col min="4" max="5" width="20" customWidth="1"/>
    <col min="6" max="7" width="10" customWidth="1"/>
    <col min="8" max="10" width="11" customWidth="1"/>
    <col min="11" max="11" width="6" customWidth="1"/>
    <col min="12" max="12" width="11" customWidth="1"/>
    <col min="13" max="14" width="5" customWidth="1"/>
    <col min="15" max="16" width="10" customWidth="1"/>
    <col min="17" max="29" width="5" customWidth="1"/>
    <col min="30" max="30" width="8" customWidth="1"/>
    <col min="31" max="31" width="6" customWidth="1"/>
  </cols>
  <sheetData>
    <row r="1" spans="1:31" x14ac:dyDescent="0.2">
      <c r="A1" s="6" t="str">
        <f>HYPERLINK("http://www.patentics.cn","Patentics")</f>
        <v>Patentics</v>
      </c>
      <c r="B1" s="7" t="s">
        <v>0</v>
      </c>
      <c r="C1" s="7" t="s">
        <v>1</v>
      </c>
      <c r="D1" s="7" t="s">
        <v>0</v>
      </c>
      <c r="E1" s="8"/>
      <c r="F1" s="8"/>
      <c r="G1" s="8"/>
    </row>
    <row r="2" spans="1:31" ht="38.25" x14ac:dyDescent="0.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  <c r="W2" s="1" t="s">
        <v>24</v>
      </c>
      <c r="X2" s="1" t="s">
        <v>25</v>
      </c>
      <c r="Y2" s="1" t="s">
        <v>26</v>
      </c>
      <c r="Z2" s="1" t="s">
        <v>27</v>
      </c>
      <c r="AA2" s="1" t="s">
        <v>28</v>
      </c>
      <c r="AB2" s="1" t="s">
        <v>29</v>
      </c>
      <c r="AC2" s="1" t="s">
        <v>30</v>
      </c>
      <c r="AD2" s="1" t="s">
        <v>31</v>
      </c>
      <c r="AE2" s="1" t="s">
        <v>32</v>
      </c>
    </row>
    <row r="3" spans="1:31" ht="38.25" x14ac:dyDescent="0.2">
      <c r="A3" s="4" t="str">
        <f>HYPERLINK("http://www.patentics.cn/invokexml.do?sf=ShowPatent&amp;spn=CN103574767B&amp;sv=1ee27a84dfa80d459ec96ff3eaa151b9","CN103574767B")</f>
        <v>CN103574767B</v>
      </c>
      <c r="B3" s="2" t="s">
        <v>33</v>
      </c>
      <c r="C3" s="2" t="s">
        <v>34</v>
      </c>
      <c r="D3" s="2" t="s">
        <v>35</v>
      </c>
      <c r="E3" s="2" t="s">
        <v>36</v>
      </c>
      <c r="F3" s="2" t="s">
        <v>37</v>
      </c>
      <c r="G3" s="2" t="s">
        <v>38</v>
      </c>
      <c r="H3" s="2" t="s">
        <v>0</v>
      </c>
      <c r="I3" s="2" t="s">
        <v>39</v>
      </c>
      <c r="J3" s="2" t="s">
        <v>40</v>
      </c>
      <c r="K3" s="2" t="s">
        <v>41</v>
      </c>
      <c r="L3" s="2" t="s">
        <v>42</v>
      </c>
      <c r="M3" s="2">
        <v>15</v>
      </c>
      <c r="N3" s="2">
        <v>23</v>
      </c>
      <c r="O3" s="2" t="s">
        <v>43</v>
      </c>
      <c r="P3" s="2" t="s">
        <v>44</v>
      </c>
      <c r="Q3" s="2">
        <v>6</v>
      </c>
      <c r="R3" s="2">
        <v>1</v>
      </c>
      <c r="S3" s="2">
        <v>5</v>
      </c>
      <c r="T3" s="2">
        <v>3</v>
      </c>
      <c r="U3" s="2">
        <v>0</v>
      </c>
      <c r="V3" s="2" t="s">
        <v>45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 t="s">
        <v>0</v>
      </c>
      <c r="AD3" s="2">
        <v>4</v>
      </c>
      <c r="AE3" s="2" t="s">
        <v>46</v>
      </c>
    </row>
    <row r="4" spans="1:31" ht="51" x14ac:dyDescent="0.2">
      <c r="A4" s="5" t="str">
        <f>HYPERLINK("http://www.patentics.cn/invokexml.do?sf=ShowPatent&amp;spn=CN201740121&amp;sv=1164dfe247a248e894d2d6937b94fb31","CN201740121")</f>
        <v>CN201740121</v>
      </c>
      <c r="B4" s="3" t="s">
        <v>47</v>
      </c>
      <c r="C4" s="3" t="s">
        <v>48</v>
      </c>
      <c r="D4" s="3" t="s">
        <v>49</v>
      </c>
      <c r="E4" s="3" t="s">
        <v>50</v>
      </c>
      <c r="F4" s="3" t="s">
        <v>51</v>
      </c>
      <c r="G4" s="3" t="s">
        <v>52</v>
      </c>
      <c r="H4" s="3" t="s">
        <v>0</v>
      </c>
      <c r="I4" s="3" t="s">
        <v>53</v>
      </c>
      <c r="J4" s="3" t="s">
        <v>54</v>
      </c>
      <c r="K4" s="3" t="s">
        <v>41</v>
      </c>
      <c r="L4" s="3" t="s">
        <v>42</v>
      </c>
      <c r="M4" s="3">
        <v>14</v>
      </c>
      <c r="N4" s="3">
        <v>15</v>
      </c>
      <c r="O4" s="3" t="s">
        <v>55</v>
      </c>
      <c r="P4" s="3" t="s">
        <v>44</v>
      </c>
      <c r="Q4" s="3">
        <v>0</v>
      </c>
      <c r="R4" s="3">
        <v>0</v>
      </c>
      <c r="S4" s="3">
        <v>0</v>
      </c>
      <c r="T4" s="3">
        <v>0</v>
      </c>
      <c r="U4" s="3">
        <v>2</v>
      </c>
      <c r="V4" s="3" t="s">
        <v>56</v>
      </c>
      <c r="W4" s="3">
        <v>1</v>
      </c>
      <c r="X4" s="3">
        <v>1</v>
      </c>
      <c r="Y4" s="3">
        <v>2</v>
      </c>
      <c r="Z4" s="3">
        <v>1</v>
      </c>
      <c r="AA4" s="3">
        <v>0</v>
      </c>
      <c r="AB4" s="3">
        <v>0</v>
      </c>
      <c r="AC4" s="3">
        <v>12</v>
      </c>
      <c r="AD4" s="3" t="s">
        <v>0</v>
      </c>
      <c r="AE4" s="3" t="s">
        <v>57</v>
      </c>
    </row>
    <row r="5" spans="1:31" ht="76.5" x14ac:dyDescent="0.2">
      <c r="A5" s="5" t="str">
        <f>HYPERLINK("http://www.patentics.cn/invokexml.do?sf=ShowPatent&amp;spn=CN201628323&amp;sv=641f8bd8faa2108222ad7f122452f124","CN201628323")</f>
        <v>CN201628323</v>
      </c>
      <c r="B5" s="3" t="s">
        <v>58</v>
      </c>
      <c r="C5" s="3" t="s">
        <v>59</v>
      </c>
      <c r="D5" s="3" t="s">
        <v>49</v>
      </c>
      <c r="E5" s="3" t="s">
        <v>50</v>
      </c>
      <c r="F5" s="3" t="s">
        <v>60</v>
      </c>
      <c r="G5" s="3" t="s">
        <v>52</v>
      </c>
      <c r="H5" s="3" t="s">
        <v>0</v>
      </c>
      <c r="I5" s="3" t="s">
        <v>61</v>
      </c>
      <c r="J5" s="3" t="s">
        <v>62</v>
      </c>
      <c r="K5" s="3" t="s">
        <v>41</v>
      </c>
      <c r="L5" s="3" t="s">
        <v>42</v>
      </c>
      <c r="M5" s="3">
        <v>10</v>
      </c>
      <c r="N5" s="3">
        <v>9</v>
      </c>
      <c r="O5" s="3" t="s">
        <v>55</v>
      </c>
      <c r="P5" s="3" t="s">
        <v>44</v>
      </c>
      <c r="Q5" s="3">
        <v>0</v>
      </c>
      <c r="R5" s="3">
        <v>0</v>
      </c>
      <c r="S5" s="3">
        <v>0</v>
      </c>
      <c r="T5" s="3">
        <v>0</v>
      </c>
      <c r="U5" s="3">
        <v>2</v>
      </c>
      <c r="V5" s="3" t="s">
        <v>63</v>
      </c>
      <c r="W5" s="3">
        <v>1</v>
      </c>
      <c r="X5" s="3">
        <v>1</v>
      </c>
      <c r="Y5" s="3">
        <v>2</v>
      </c>
      <c r="Z5" s="3">
        <v>1</v>
      </c>
      <c r="AA5" s="3">
        <v>0</v>
      </c>
      <c r="AB5" s="3">
        <v>0</v>
      </c>
      <c r="AC5" s="3">
        <v>12</v>
      </c>
      <c r="AD5" s="3" t="s">
        <v>0</v>
      </c>
      <c r="AE5" s="3" t="s">
        <v>46</v>
      </c>
    </row>
    <row r="6" spans="1:31" ht="63.75" x14ac:dyDescent="0.2">
      <c r="A6" s="5" t="str">
        <f>HYPERLINK("http://www.patentics.cn/invokexml.do?sf=ShowPatent&amp;spn=CN201672639&amp;sv=21e58f756940840bd0dff724558d2832","CN201672639")</f>
        <v>CN201672639</v>
      </c>
      <c r="B6" s="3" t="s">
        <v>64</v>
      </c>
      <c r="C6" s="3" t="s">
        <v>65</v>
      </c>
      <c r="D6" s="3" t="s">
        <v>49</v>
      </c>
      <c r="E6" s="3" t="s">
        <v>50</v>
      </c>
      <c r="F6" s="3" t="s">
        <v>66</v>
      </c>
      <c r="G6" s="3" t="s">
        <v>52</v>
      </c>
      <c r="H6" s="3" t="s">
        <v>0</v>
      </c>
      <c r="I6" s="3" t="s">
        <v>67</v>
      </c>
      <c r="J6" s="3" t="s">
        <v>68</v>
      </c>
      <c r="K6" s="3" t="s">
        <v>41</v>
      </c>
      <c r="L6" s="3" t="s">
        <v>69</v>
      </c>
      <c r="M6" s="3">
        <v>9</v>
      </c>
      <c r="N6" s="3">
        <v>10</v>
      </c>
      <c r="O6" s="3" t="s">
        <v>55</v>
      </c>
      <c r="P6" s="3" t="s">
        <v>44</v>
      </c>
      <c r="Q6" s="3">
        <v>0</v>
      </c>
      <c r="R6" s="3">
        <v>0</v>
      </c>
      <c r="S6" s="3">
        <v>0</v>
      </c>
      <c r="T6" s="3">
        <v>0</v>
      </c>
      <c r="U6" s="3">
        <v>2</v>
      </c>
      <c r="V6" s="3" t="s">
        <v>56</v>
      </c>
      <c r="W6" s="3">
        <v>1</v>
      </c>
      <c r="X6" s="3">
        <v>1</v>
      </c>
      <c r="Y6" s="3">
        <v>2</v>
      </c>
      <c r="Z6" s="3">
        <v>1</v>
      </c>
      <c r="AA6" s="3">
        <v>0</v>
      </c>
      <c r="AB6" s="3">
        <v>0</v>
      </c>
      <c r="AC6" s="3">
        <v>12</v>
      </c>
      <c r="AD6" s="3" t="s">
        <v>0</v>
      </c>
      <c r="AE6" s="3" t="s">
        <v>46</v>
      </c>
    </row>
    <row r="7" spans="1:31" ht="76.5" x14ac:dyDescent="0.2">
      <c r="A7" s="5" t="str">
        <f>HYPERLINK("http://www.patentics.cn/invokexml.do?sf=ShowPatent&amp;spn=CN102200322&amp;sv=197c1e828c05f3e80c160b937d28b749","CN102200322")</f>
        <v>CN102200322</v>
      </c>
      <c r="B7" s="3" t="s">
        <v>70</v>
      </c>
      <c r="C7" s="3" t="s">
        <v>48</v>
      </c>
      <c r="D7" s="3" t="s">
        <v>49</v>
      </c>
      <c r="E7" s="3" t="s">
        <v>50</v>
      </c>
      <c r="F7" s="3" t="s">
        <v>71</v>
      </c>
      <c r="G7" s="3" t="s">
        <v>52</v>
      </c>
      <c r="H7" s="3" t="s">
        <v>72</v>
      </c>
      <c r="I7" s="3" t="s">
        <v>73</v>
      </c>
      <c r="J7" s="3" t="s">
        <v>74</v>
      </c>
      <c r="K7" s="3" t="s">
        <v>41</v>
      </c>
      <c r="L7" s="3" t="s">
        <v>42</v>
      </c>
      <c r="M7" s="3">
        <v>17</v>
      </c>
      <c r="N7" s="3">
        <v>15</v>
      </c>
      <c r="O7" s="3" t="s">
        <v>75</v>
      </c>
      <c r="P7" s="3" t="s">
        <v>44</v>
      </c>
      <c r="Q7" s="3">
        <v>0</v>
      </c>
      <c r="R7" s="3">
        <v>0</v>
      </c>
      <c r="S7" s="3">
        <v>0</v>
      </c>
      <c r="T7" s="3">
        <v>0</v>
      </c>
      <c r="U7" s="3">
        <v>6</v>
      </c>
      <c r="V7" s="3" t="s">
        <v>76</v>
      </c>
      <c r="W7" s="3">
        <v>3</v>
      </c>
      <c r="X7" s="3">
        <v>3</v>
      </c>
      <c r="Y7" s="3">
        <v>3</v>
      </c>
      <c r="Z7" s="3">
        <v>1</v>
      </c>
      <c r="AA7" s="3">
        <v>1</v>
      </c>
      <c r="AB7" s="3">
        <v>1</v>
      </c>
      <c r="AC7" s="3">
        <v>12</v>
      </c>
      <c r="AD7" s="3" t="s">
        <v>0</v>
      </c>
      <c r="AE7" s="3" t="s">
        <v>46</v>
      </c>
    </row>
    <row r="8" spans="1:31" ht="63.75" x14ac:dyDescent="0.2">
      <c r="A8" s="4" t="str">
        <f>HYPERLINK("http://www.patentics.cn/invokexml.do?sf=ShowPatent&amp;spn=CN102778003B&amp;sv=7f7599cf8983f2eb8295f2eebc614083","CN102778003B")</f>
        <v>CN102778003B</v>
      </c>
      <c r="B8" s="2" t="s">
        <v>77</v>
      </c>
      <c r="C8" s="2" t="s">
        <v>78</v>
      </c>
      <c r="D8" s="2" t="s">
        <v>79</v>
      </c>
      <c r="E8" s="2" t="s">
        <v>36</v>
      </c>
      <c r="F8" s="2" t="s">
        <v>80</v>
      </c>
      <c r="G8" s="2" t="s">
        <v>81</v>
      </c>
      <c r="H8" s="2" t="s">
        <v>82</v>
      </c>
      <c r="I8" s="2" t="s">
        <v>82</v>
      </c>
      <c r="J8" s="2" t="s">
        <v>83</v>
      </c>
      <c r="K8" s="2" t="s">
        <v>41</v>
      </c>
      <c r="L8" s="2" t="s">
        <v>84</v>
      </c>
      <c r="M8" s="2">
        <v>6</v>
      </c>
      <c r="N8" s="2">
        <v>27</v>
      </c>
      <c r="O8" s="2" t="s">
        <v>43</v>
      </c>
      <c r="P8" s="2" t="s">
        <v>44</v>
      </c>
      <c r="Q8" s="2">
        <v>8</v>
      </c>
      <c r="R8" s="2">
        <v>0</v>
      </c>
      <c r="S8" s="2">
        <v>8</v>
      </c>
      <c r="T8" s="2">
        <v>5</v>
      </c>
      <c r="U8" s="2">
        <v>0</v>
      </c>
      <c r="V8" s="2" t="s">
        <v>45</v>
      </c>
      <c r="W8" s="2">
        <v>0</v>
      </c>
      <c r="X8" s="2">
        <v>0</v>
      </c>
      <c r="Y8" s="2">
        <v>0</v>
      </c>
      <c r="Z8" s="2">
        <v>0</v>
      </c>
      <c r="AA8" s="2">
        <v>1</v>
      </c>
      <c r="AB8" s="2">
        <v>1</v>
      </c>
      <c r="AC8" s="2" t="s">
        <v>0</v>
      </c>
      <c r="AD8" s="2">
        <v>4</v>
      </c>
      <c r="AE8" s="2" t="s">
        <v>46</v>
      </c>
    </row>
    <row r="9" spans="1:31" ht="38.25" x14ac:dyDescent="0.2">
      <c r="A9" s="5" t="str">
        <f>HYPERLINK("http://www.patentics.cn/invokexml.do?sf=ShowPatent&amp;spn=CN201569112&amp;sv=b1b34a26ca90d198b084483d81dc8ad9","CN201569112")</f>
        <v>CN201569112</v>
      </c>
      <c r="B9" s="3" t="s">
        <v>85</v>
      </c>
      <c r="C9" s="3" t="s">
        <v>86</v>
      </c>
      <c r="D9" s="3" t="s">
        <v>49</v>
      </c>
      <c r="E9" s="3" t="s">
        <v>50</v>
      </c>
      <c r="F9" s="3" t="s">
        <v>87</v>
      </c>
      <c r="G9" s="3" t="s">
        <v>88</v>
      </c>
      <c r="H9" s="3" t="s">
        <v>0</v>
      </c>
      <c r="I9" s="3" t="s">
        <v>89</v>
      </c>
      <c r="J9" s="3" t="s">
        <v>90</v>
      </c>
      <c r="K9" s="3" t="s">
        <v>41</v>
      </c>
      <c r="L9" s="3" t="s">
        <v>91</v>
      </c>
      <c r="M9" s="3">
        <v>8</v>
      </c>
      <c r="N9" s="3">
        <v>12</v>
      </c>
      <c r="O9" s="3" t="s">
        <v>55</v>
      </c>
      <c r="P9" s="3" t="s">
        <v>44</v>
      </c>
      <c r="Q9" s="3">
        <v>0</v>
      </c>
      <c r="R9" s="3">
        <v>0</v>
      </c>
      <c r="S9" s="3">
        <v>0</v>
      </c>
      <c r="T9" s="3">
        <v>0</v>
      </c>
      <c r="U9" s="3">
        <v>3</v>
      </c>
      <c r="V9" s="3" t="s">
        <v>92</v>
      </c>
      <c r="W9" s="3">
        <v>0</v>
      </c>
      <c r="X9" s="3">
        <v>3</v>
      </c>
      <c r="Y9" s="3">
        <v>2</v>
      </c>
      <c r="Z9" s="3">
        <v>1</v>
      </c>
      <c r="AA9" s="3">
        <v>0</v>
      </c>
      <c r="AB9" s="3">
        <v>0</v>
      </c>
      <c r="AC9" s="3">
        <v>12</v>
      </c>
      <c r="AD9" s="3" t="s">
        <v>0</v>
      </c>
      <c r="AE9" s="3" t="s">
        <v>46</v>
      </c>
    </row>
    <row r="10" spans="1:31" ht="38.25" x14ac:dyDescent="0.2">
      <c r="A10" s="5" t="str">
        <f>HYPERLINK("http://www.patentics.cn/invokexml.do?sf=ShowPatent&amp;spn=CN101245936&amp;sv=d28acfb6e5c47ba5c66704316dd1de4c","CN101245936")</f>
        <v>CN101245936</v>
      </c>
      <c r="B10" s="3" t="s">
        <v>93</v>
      </c>
      <c r="C10" s="3" t="s">
        <v>94</v>
      </c>
      <c r="D10" s="3" t="s">
        <v>49</v>
      </c>
      <c r="E10" s="3" t="s">
        <v>50</v>
      </c>
      <c r="F10" s="3" t="s">
        <v>95</v>
      </c>
      <c r="G10" s="3" t="s">
        <v>96</v>
      </c>
      <c r="H10" s="3" t="s">
        <v>0</v>
      </c>
      <c r="I10" s="3" t="s">
        <v>97</v>
      </c>
      <c r="J10" s="3" t="s">
        <v>98</v>
      </c>
      <c r="K10" s="3" t="s">
        <v>41</v>
      </c>
      <c r="L10" s="3" t="s">
        <v>42</v>
      </c>
      <c r="M10" s="3">
        <v>7</v>
      </c>
      <c r="N10" s="3">
        <v>9</v>
      </c>
      <c r="O10" s="3" t="s">
        <v>75</v>
      </c>
      <c r="P10" s="3" t="s">
        <v>44</v>
      </c>
      <c r="Q10" s="3">
        <v>0</v>
      </c>
      <c r="R10" s="3">
        <v>0</v>
      </c>
      <c r="S10" s="3">
        <v>0</v>
      </c>
      <c r="T10" s="3">
        <v>0</v>
      </c>
      <c r="U10" s="3">
        <v>2</v>
      </c>
      <c r="V10" s="3" t="s">
        <v>99</v>
      </c>
      <c r="W10" s="3">
        <v>0</v>
      </c>
      <c r="X10" s="3">
        <v>2</v>
      </c>
      <c r="Y10" s="3">
        <v>2</v>
      </c>
      <c r="Z10" s="3">
        <v>1</v>
      </c>
      <c r="AA10" s="3">
        <v>0</v>
      </c>
      <c r="AB10" s="3">
        <v>0</v>
      </c>
      <c r="AC10" s="3">
        <v>12</v>
      </c>
      <c r="AD10" s="3" t="s">
        <v>0</v>
      </c>
      <c r="AE10" s="3" t="s">
        <v>100</v>
      </c>
    </row>
    <row r="11" spans="1:31" ht="25.5" x14ac:dyDescent="0.2">
      <c r="A11" s="5" t="str">
        <f>HYPERLINK("http://www.patentics.cn/invokexml.do?sf=ShowPatent&amp;spn=CN102147137&amp;sv=9a75c40f0b2e04a0ae7874ca06785c52","CN102147137")</f>
        <v>CN102147137</v>
      </c>
      <c r="B11" s="3" t="s">
        <v>101</v>
      </c>
      <c r="C11" s="3" t="s">
        <v>102</v>
      </c>
      <c r="D11" s="3" t="s">
        <v>49</v>
      </c>
      <c r="E11" s="3" t="s">
        <v>50</v>
      </c>
      <c r="F11" s="3" t="s">
        <v>103</v>
      </c>
      <c r="G11" s="3" t="s">
        <v>104</v>
      </c>
      <c r="H11" s="3" t="s">
        <v>105</v>
      </c>
      <c r="I11" s="3" t="s">
        <v>105</v>
      </c>
      <c r="J11" s="3" t="s">
        <v>106</v>
      </c>
      <c r="K11" s="3" t="s">
        <v>41</v>
      </c>
      <c r="L11" s="3" t="s">
        <v>84</v>
      </c>
      <c r="M11" s="3">
        <v>11</v>
      </c>
      <c r="N11" s="3">
        <v>17</v>
      </c>
      <c r="O11" s="3" t="s">
        <v>75</v>
      </c>
      <c r="P11" s="3" t="s">
        <v>44</v>
      </c>
      <c r="Q11" s="3">
        <v>0</v>
      </c>
      <c r="R11" s="3">
        <v>0</v>
      </c>
      <c r="S11" s="3">
        <v>0</v>
      </c>
      <c r="T11" s="3">
        <v>0</v>
      </c>
      <c r="U11" s="3">
        <v>5</v>
      </c>
      <c r="V11" s="3" t="s">
        <v>107</v>
      </c>
      <c r="W11" s="3">
        <v>2</v>
      </c>
      <c r="X11" s="3">
        <v>3</v>
      </c>
      <c r="Y11" s="3">
        <v>3</v>
      </c>
      <c r="Z11" s="3">
        <v>1</v>
      </c>
      <c r="AA11" s="3">
        <v>1</v>
      </c>
      <c r="AB11" s="3">
        <v>1</v>
      </c>
      <c r="AC11" s="3">
        <v>12</v>
      </c>
      <c r="AD11" s="3" t="s">
        <v>0</v>
      </c>
      <c r="AE11" s="3" t="s">
        <v>46</v>
      </c>
    </row>
    <row r="12" spans="1:31" ht="51" x14ac:dyDescent="0.2">
      <c r="A12" s="5" t="str">
        <f>HYPERLINK("http://www.patentics.cn/invokexml.do?sf=ShowPatent&amp;spn=CN202074628&amp;sv=be044cd9f786975497d329e56b89638a","CN202074628")</f>
        <v>CN202074628</v>
      </c>
      <c r="B12" s="3" t="s">
        <v>108</v>
      </c>
      <c r="C12" s="3" t="s">
        <v>109</v>
      </c>
      <c r="D12" s="3" t="s">
        <v>49</v>
      </c>
      <c r="E12" s="3" t="s">
        <v>50</v>
      </c>
      <c r="F12" s="3" t="s">
        <v>110</v>
      </c>
      <c r="G12" s="3" t="s">
        <v>52</v>
      </c>
      <c r="H12" s="3" t="s">
        <v>0</v>
      </c>
      <c r="I12" s="3" t="s">
        <v>111</v>
      </c>
      <c r="J12" s="3" t="s">
        <v>112</v>
      </c>
      <c r="K12" s="3" t="s">
        <v>41</v>
      </c>
      <c r="L12" s="3" t="s">
        <v>42</v>
      </c>
      <c r="M12" s="3">
        <v>12</v>
      </c>
      <c r="N12" s="3">
        <v>11</v>
      </c>
      <c r="O12" s="3" t="s">
        <v>55</v>
      </c>
      <c r="P12" s="3" t="s">
        <v>44</v>
      </c>
      <c r="Q12" s="3">
        <v>0</v>
      </c>
      <c r="R12" s="3">
        <v>0</v>
      </c>
      <c r="S12" s="3">
        <v>0</v>
      </c>
      <c r="T12" s="3">
        <v>0</v>
      </c>
      <c r="U12" s="3">
        <v>1</v>
      </c>
      <c r="V12" s="3" t="s">
        <v>113</v>
      </c>
      <c r="W12" s="3">
        <v>0</v>
      </c>
      <c r="X12" s="3">
        <v>1</v>
      </c>
      <c r="Y12" s="3">
        <v>1</v>
      </c>
      <c r="Z12" s="3">
        <v>1</v>
      </c>
      <c r="AA12" s="3">
        <v>0</v>
      </c>
      <c r="AB12" s="3">
        <v>0</v>
      </c>
      <c r="AC12" s="3">
        <v>12</v>
      </c>
      <c r="AD12" s="3" t="s">
        <v>0</v>
      </c>
      <c r="AE12" s="3" t="s">
        <v>46</v>
      </c>
    </row>
    <row r="13" spans="1:31" ht="51" x14ac:dyDescent="0.2">
      <c r="A13" s="4" t="str">
        <f>HYPERLINK("http://www.patentics.cn/invokexml.do?sf=ShowPatent&amp;spn=WO2014161351&amp;sv=a7cdc7f9dfeec22ee6d6186f19dc42b9","WO2014161351")</f>
        <v>WO2014161351</v>
      </c>
      <c r="B13" s="2" t="s">
        <v>114</v>
      </c>
      <c r="C13" s="2" t="s">
        <v>115</v>
      </c>
      <c r="D13" s="2" t="s">
        <v>116</v>
      </c>
      <c r="E13" s="2" t="s">
        <v>117</v>
      </c>
      <c r="F13" s="2" t="s">
        <v>118</v>
      </c>
      <c r="G13" s="2" t="s">
        <v>119</v>
      </c>
      <c r="H13" s="2" t="s">
        <v>120</v>
      </c>
      <c r="I13" s="2" t="s">
        <v>121</v>
      </c>
      <c r="J13" s="2" t="s">
        <v>122</v>
      </c>
      <c r="K13" s="2" t="s">
        <v>41</v>
      </c>
      <c r="L13" s="2" t="s">
        <v>84</v>
      </c>
      <c r="M13" s="2">
        <v>15</v>
      </c>
      <c r="N13" s="2">
        <v>13</v>
      </c>
      <c r="O13" s="2" t="s">
        <v>123</v>
      </c>
      <c r="P13" s="2" t="s">
        <v>44</v>
      </c>
      <c r="Q13" s="2">
        <v>8</v>
      </c>
      <c r="R13" s="2">
        <v>1</v>
      </c>
      <c r="S13" s="2">
        <v>7</v>
      </c>
      <c r="T13" s="2">
        <v>5</v>
      </c>
      <c r="U13" s="2">
        <v>0</v>
      </c>
      <c r="V13" s="2" t="s">
        <v>45</v>
      </c>
      <c r="W13" s="2">
        <v>0</v>
      </c>
      <c r="X13" s="2">
        <v>0</v>
      </c>
      <c r="Y13" s="2">
        <v>0</v>
      </c>
      <c r="Z13" s="2">
        <v>0</v>
      </c>
      <c r="AA13" s="2">
        <v>1</v>
      </c>
      <c r="AB13" s="2">
        <v>2</v>
      </c>
      <c r="AC13" s="2" t="s">
        <v>0</v>
      </c>
      <c r="AD13" s="2">
        <v>4</v>
      </c>
      <c r="AE13" s="2" t="s">
        <v>0</v>
      </c>
    </row>
    <row r="14" spans="1:31" ht="25.5" x14ac:dyDescent="0.2">
      <c r="A14" s="5" t="str">
        <f>HYPERLINK("http://www.patentics.cn/invokexml.do?sf=ShowPatent&amp;spn=CN101424434&amp;sv=a6089cdfe1a016618dccc7a1f674469b","CN101424434")</f>
        <v>CN101424434</v>
      </c>
      <c r="B14" s="3" t="s">
        <v>124</v>
      </c>
      <c r="C14" s="3" t="s">
        <v>125</v>
      </c>
      <c r="D14" s="3" t="s">
        <v>49</v>
      </c>
      <c r="E14" s="3" t="s">
        <v>50</v>
      </c>
      <c r="F14" s="3" t="s">
        <v>126</v>
      </c>
      <c r="G14" s="3" t="s">
        <v>88</v>
      </c>
      <c r="H14" s="3" t="s">
        <v>127</v>
      </c>
      <c r="I14" s="3" t="s">
        <v>127</v>
      </c>
      <c r="J14" s="3" t="s">
        <v>128</v>
      </c>
      <c r="K14" s="3" t="s">
        <v>41</v>
      </c>
      <c r="L14" s="3" t="s">
        <v>84</v>
      </c>
      <c r="M14" s="3">
        <v>10</v>
      </c>
      <c r="N14" s="3">
        <v>11</v>
      </c>
      <c r="O14" s="3" t="s">
        <v>75</v>
      </c>
      <c r="P14" s="3" t="s">
        <v>44</v>
      </c>
      <c r="Q14" s="3">
        <v>0</v>
      </c>
      <c r="R14" s="3">
        <v>0</v>
      </c>
      <c r="S14" s="3">
        <v>0</v>
      </c>
      <c r="T14" s="3">
        <v>0</v>
      </c>
      <c r="U14" s="3">
        <v>3</v>
      </c>
      <c r="V14" s="3" t="s">
        <v>129</v>
      </c>
      <c r="W14" s="3">
        <v>0</v>
      </c>
      <c r="X14" s="3">
        <v>3</v>
      </c>
      <c r="Y14" s="3">
        <v>2</v>
      </c>
      <c r="Z14" s="3">
        <v>2</v>
      </c>
      <c r="AA14" s="3">
        <v>1</v>
      </c>
      <c r="AB14" s="3">
        <v>1</v>
      </c>
      <c r="AC14" s="3">
        <v>12</v>
      </c>
      <c r="AD14" s="3" t="s">
        <v>0</v>
      </c>
      <c r="AE14" s="3" t="s">
        <v>46</v>
      </c>
    </row>
    <row r="15" spans="1:31" ht="38.25" x14ac:dyDescent="0.2">
      <c r="A15" s="5" t="str">
        <f>HYPERLINK("http://www.patentics.cn/invokexml.do?sf=ShowPatent&amp;spn=CN1932400&amp;sv=50dcbe056946116aecf43f639216d7d1","CN1932400")</f>
        <v>CN1932400</v>
      </c>
      <c r="B15" s="3" t="s">
        <v>130</v>
      </c>
      <c r="C15" s="3" t="s">
        <v>131</v>
      </c>
      <c r="D15" s="3" t="s">
        <v>49</v>
      </c>
      <c r="E15" s="3" t="s">
        <v>50</v>
      </c>
      <c r="F15" s="3" t="s">
        <v>132</v>
      </c>
      <c r="G15" s="3" t="s">
        <v>133</v>
      </c>
      <c r="H15" s="3" t="s">
        <v>134</v>
      </c>
      <c r="I15" s="3" t="s">
        <v>134</v>
      </c>
      <c r="J15" s="3" t="s">
        <v>135</v>
      </c>
      <c r="K15" s="3" t="s">
        <v>41</v>
      </c>
      <c r="L15" s="3" t="s">
        <v>84</v>
      </c>
      <c r="M15" s="3">
        <v>3</v>
      </c>
      <c r="N15" s="3">
        <v>29</v>
      </c>
      <c r="O15" s="3" t="s">
        <v>75</v>
      </c>
      <c r="P15" s="3" t="s">
        <v>44</v>
      </c>
      <c r="Q15" s="3">
        <v>1</v>
      </c>
      <c r="R15" s="3">
        <v>1</v>
      </c>
      <c r="S15" s="3">
        <v>0</v>
      </c>
      <c r="T15" s="3">
        <v>1</v>
      </c>
      <c r="U15" s="3">
        <v>8</v>
      </c>
      <c r="V15" s="3" t="s">
        <v>136</v>
      </c>
      <c r="W15" s="3">
        <v>5</v>
      </c>
      <c r="X15" s="3">
        <v>3</v>
      </c>
      <c r="Y15" s="3">
        <v>4</v>
      </c>
      <c r="Z15" s="3">
        <v>2</v>
      </c>
      <c r="AA15" s="3">
        <v>1</v>
      </c>
      <c r="AB15" s="3">
        <v>1</v>
      </c>
      <c r="AC15" s="3">
        <v>12</v>
      </c>
      <c r="AD15" s="3" t="s">
        <v>0</v>
      </c>
      <c r="AE15" s="3" t="s">
        <v>46</v>
      </c>
    </row>
    <row r="16" spans="1:31" ht="76.5" x14ac:dyDescent="0.2">
      <c r="A16" s="5" t="str">
        <f>HYPERLINK("http://www.patentics.cn/invokexml.do?sf=ShowPatent&amp;spn=CN101818933&amp;sv=982d29aa4ec560a2d860418e5073d8e6","CN101818933")</f>
        <v>CN101818933</v>
      </c>
      <c r="B16" s="3" t="s">
        <v>137</v>
      </c>
      <c r="C16" s="3" t="s">
        <v>138</v>
      </c>
      <c r="D16" s="3" t="s">
        <v>49</v>
      </c>
      <c r="E16" s="3" t="s">
        <v>50</v>
      </c>
      <c r="F16" s="3" t="s">
        <v>139</v>
      </c>
      <c r="G16" s="3" t="s">
        <v>52</v>
      </c>
      <c r="H16" s="3" t="s">
        <v>0</v>
      </c>
      <c r="I16" s="3" t="s">
        <v>140</v>
      </c>
      <c r="J16" s="3" t="s">
        <v>90</v>
      </c>
      <c r="K16" s="3" t="s">
        <v>41</v>
      </c>
      <c r="L16" s="3" t="s">
        <v>84</v>
      </c>
      <c r="M16" s="3">
        <v>10</v>
      </c>
      <c r="N16" s="3">
        <v>8</v>
      </c>
      <c r="O16" s="3" t="s">
        <v>75</v>
      </c>
      <c r="P16" s="3" t="s">
        <v>44</v>
      </c>
      <c r="Q16" s="3">
        <v>0</v>
      </c>
      <c r="R16" s="3">
        <v>0</v>
      </c>
      <c r="S16" s="3">
        <v>0</v>
      </c>
      <c r="T16" s="3">
        <v>0</v>
      </c>
      <c r="U16" s="3">
        <v>2</v>
      </c>
      <c r="V16" s="3" t="s">
        <v>141</v>
      </c>
      <c r="W16" s="3">
        <v>1</v>
      </c>
      <c r="X16" s="3">
        <v>1</v>
      </c>
      <c r="Y16" s="3">
        <v>2</v>
      </c>
      <c r="Z16" s="3">
        <v>2</v>
      </c>
      <c r="AA16" s="3">
        <v>0</v>
      </c>
      <c r="AB16" s="3">
        <v>0</v>
      </c>
      <c r="AC16" s="3">
        <v>12</v>
      </c>
      <c r="AD16" s="3" t="s">
        <v>0</v>
      </c>
      <c r="AE16" s="3" t="s">
        <v>100</v>
      </c>
    </row>
    <row r="17" spans="1:31" ht="63.75" x14ac:dyDescent="0.2">
      <c r="A17" s="5" t="str">
        <f>HYPERLINK("http://www.patentics.cn/invokexml.do?sf=ShowPatent&amp;spn=CN202485149&amp;sv=8aa13c91113e7b7dd4ecc9a659b3865e","CN202485149")</f>
        <v>CN202485149</v>
      </c>
      <c r="B17" s="3" t="s">
        <v>142</v>
      </c>
      <c r="C17" s="3" t="s">
        <v>143</v>
      </c>
      <c r="D17" s="3" t="s">
        <v>49</v>
      </c>
      <c r="E17" s="3" t="s">
        <v>50</v>
      </c>
      <c r="F17" s="3" t="s">
        <v>144</v>
      </c>
      <c r="G17" s="3" t="s">
        <v>145</v>
      </c>
      <c r="H17" s="3" t="s">
        <v>0</v>
      </c>
      <c r="I17" s="3" t="s">
        <v>112</v>
      </c>
      <c r="J17" s="3" t="s">
        <v>146</v>
      </c>
      <c r="K17" s="3" t="s">
        <v>41</v>
      </c>
      <c r="L17" s="3" t="s">
        <v>84</v>
      </c>
      <c r="M17" s="3">
        <v>6</v>
      </c>
      <c r="N17" s="3">
        <v>14</v>
      </c>
      <c r="O17" s="3" t="s">
        <v>55</v>
      </c>
      <c r="P17" s="3" t="s">
        <v>44</v>
      </c>
      <c r="Q17" s="3">
        <v>1</v>
      </c>
      <c r="R17" s="3">
        <v>0</v>
      </c>
      <c r="S17" s="3">
        <v>1</v>
      </c>
      <c r="T17" s="3">
        <v>1</v>
      </c>
      <c r="U17" s="3">
        <v>4</v>
      </c>
      <c r="V17" s="3" t="s">
        <v>147</v>
      </c>
      <c r="W17" s="3">
        <v>1</v>
      </c>
      <c r="X17" s="3">
        <v>3</v>
      </c>
      <c r="Y17" s="3">
        <v>4</v>
      </c>
      <c r="Z17" s="3">
        <v>2</v>
      </c>
      <c r="AA17" s="3">
        <v>0</v>
      </c>
      <c r="AB17" s="3">
        <v>0</v>
      </c>
      <c r="AC17" s="3">
        <v>12</v>
      </c>
      <c r="AD17" s="3" t="s">
        <v>0</v>
      </c>
      <c r="AE17" s="3" t="s">
        <v>46</v>
      </c>
    </row>
    <row r="18" spans="1:31" ht="25.5" x14ac:dyDescent="0.2">
      <c r="A18" s="4" t="str">
        <f>HYPERLINK("http://www.patentics.cn/invokexml.do?sf=ShowPatent&amp;spn=CN104110538B&amp;sv=ccea57994d61d85396350cf942ed1346","CN104110538B")</f>
        <v>CN104110538B</v>
      </c>
      <c r="B18" s="2" t="s">
        <v>148</v>
      </c>
      <c r="C18" s="2" t="s">
        <v>149</v>
      </c>
      <c r="D18" s="2" t="s">
        <v>35</v>
      </c>
      <c r="E18" s="2" t="s">
        <v>36</v>
      </c>
      <c r="F18" s="2" t="s">
        <v>150</v>
      </c>
      <c r="G18" s="2" t="s">
        <v>151</v>
      </c>
      <c r="H18" s="2" t="s">
        <v>0</v>
      </c>
      <c r="I18" s="2" t="s">
        <v>152</v>
      </c>
      <c r="J18" s="2" t="s">
        <v>153</v>
      </c>
      <c r="K18" s="2" t="s">
        <v>154</v>
      </c>
      <c r="L18" s="2" t="s">
        <v>155</v>
      </c>
      <c r="M18" s="2">
        <v>10</v>
      </c>
      <c r="N18" s="2">
        <v>26</v>
      </c>
      <c r="O18" s="2" t="s">
        <v>43</v>
      </c>
      <c r="P18" s="2" t="s">
        <v>44</v>
      </c>
      <c r="Q18" s="2">
        <v>7</v>
      </c>
      <c r="R18" s="2">
        <v>1</v>
      </c>
      <c r="S18" s="2">
        <v>6</v>
      </c>
      <c r="T18" s="2">
        <v>5</v>
      </c>
      <c r="U18" s="2">
        <v>0</v>
      </c>
      <c r="V18" s="2" t="s">
        <v>45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 t="s">
        <v>0</v>
      </c>
      <c r="AD18" s="2">
        <v>3</v>
      </c>
      <c r="AE18" s="2" t="s">
        <v>46</v>
      </c>
    </row>
    <row r="19" spans="1:31" ht="38.25" x14ac:dyDescent="0.2">
      <c r="A19" s="5" t="str">
        <f>HYPERLINK("http://www.patentics.cn/invokexml.do?sf=ShowPatent&amp;spn=CN202381869&amp;sv=dde19f896acc07452d078229198dd394","CN202381869")</f>
        <v>CN202381869</v>
      </c>
      <c r="B19" s="3" t="s">
        <v>156</v>
      </c>
      <c r="C19" s="3" t="s">
        <v>157</v>
      </c>
      <c r="D19" s="3" t="s">
        <v>49</v>
      </c>
      <c r="E19" s="3" t="s">
        <v>50</v>
      </c>
      <c r="F19" s="3" t="s">
        <v>158</v>
      </c>
      <c r="G19" s="3" t="s">
        <v>159</v>
      </c>
      <c r="H19" s="3" t="s">
        <v>0</v>
      </c>
      <c r="I19" s="3" t="s">
        <v>160</v>
      </c>
      <c r="J19" s="3" t="s">
        <v>161</v>
      </c>
      <c r="K19" s="3" t="s">
        <v>154</v>
      </c>
      <c r="L19" s="3" t="s">
        <v>155</v>
      </c>
      <c r="M19" s="3">
        <v>8</v>
      </c>
      <c r="N19" s="3">
        <v>5</v>
      </c>
      <c r="O19" s="3" t="s">
        <v>55</v>
      </c>
      <c r="P19" s="3" t="s">
        <v>44</v>
      </c>
      <c r="Q19" s="3">
        <v>0</v>
      </c>
      <c r="R19" s="3">
        <v>0</v>
      </c>
      <c r="S19" s="3">
        <v>0</v>
      </c>
      <c r="T19" s="3">
        <v>0</v>
      </c>
      <c r="U19" s="3">
        <v>2</v>
      </c>
      <c r="V19" s="3" t="s">
        <v>162</v>
      </c>
      <c r="W19" s="3">
        <v>1</v>
      </c>
      <c r="X19" s="3">
        <v>1</v>
      </c>
      <c r="Y19" s="3">
        <v>2</v>
      </c>
      <c r="Z19" s="3">
        <v>1</v>
      </c>
      <c r="AA19" s="3">
        <v>0</v>
      </c>
      <c r="AB19" s="3">
        <v>0</v>
      </c>
      <c r="AC19" s="3">
        <v>12</v>
      </c>
      <c r="AD19" s="3" t="s">
        <v>0</v>
      </c>
      <c r="AE19" s="3" t="s">
        <v>46</v>
      </c>
    </row>
    <row r="20" spans="1:31" ht="38.25" x14ac:dyDescent="0.2">
      <c r="A20" s="5" t="str">
        <f>HYPERLINK("http://www.patentics.cn/invokexml.do?sf=ShowPatent&amp;spn=CN202812532&amp;sv=1c14d40281b6db3540573cb9c630740e","CN202812532")</f>
        <v>CN202812532</v>
      </c>
      <c r="B20" s="3" t="s">
        <v>163</v>
      </c>
      <c r="C20" s="3" t="s">
        <v>164</v>
      </c>
      <c r="D20" s="3" t="s">
        <v>49</v>
      </c>
      <c r="E20" s="3" t="s">
        <v>50</v>
      </c>
      <c r="F20" s="3" t="s">
        <v>165</v>
      </c>
      <c r="G20" s="3" t="s">
        <v>166</v>
      </c>
      <c r="H20" s="3" t="s">
        <v>0</v>
      </c>
      <c r="I20" s="3" t="s">
        <v>167</v>
      </c>
      <c r="J20" s="3" t="s">
        <v>168</v>
      </c>
      <c r="K20" s="3" t="s">
        <v>154</v>
      </c>
      <c r="L20" s="3" t="s">
        <v>169</v>
      </c>
      <c r="M20" s="3">
        <v>13</v>
      </c>
      <c r="N20" s="3">
        <v>19</v>
      </c>
      <c r="O20" s="3" t="s">
        <v>55</v>
      </c>
      <c r="P20" s="3" t="s">
        <v>44</v>
      </c>
      <c r="Q20" s="3">
        <v>0</v>
      </c>
      <c r="R20" s="3">
        <v>0</v>
      </c>
      <c r="S20" s="3">
        <v>0</v>
      </c>
      <c r="T20" s="3">
        <v>0</v>
      </c>
      <c r="U20" s="3">
        <v>2</v>
      </c>
      <c r="V20" s="3" t="s">
        <v>170</v>
      </c>
      <c r="W20" s="3">
        <v>1</v>
      </c>
      <c r="X20" s="3">
        <v>1</v>
      </c>
      <c r="Y20" s="3">
        <v>2</v>
      </c>
      <c r="Z20" s="3">
        <v>1</v>
      </c>
      <c r="AA20" s="3">
        <v>0</v>
      </c>
      <c r="AB20" s="3">
        <v>0</v>
      </c>
      <c r="AC20" s="3">
        <v>12</v>
      </c>
      <c r="AD20" s="3" t="s">
        <v>0</v>
      </c>
      <c r="AE20" s="3" t="s">
        <v>57</v>
      </c>
    </row>
    <row r="21" spans="1:31" ht="38.25" x14ac:dyDescent="0.2">
      <c r="A21" s="5" t="str">
        <f>HYPERLINK("http://www.patentics.cn/invokexml.do?sf=ShowPatent&amp;spn=CN202789993&amp;sv=e37ab6b2856811af2022a1a5f99604bf","CN202789993")</f>
        <v>CN202789993</v>
      </c>
      <c r="B21" s="3" t="s">
        <v>171</v>
      </c>
      <c r="C21" s="3" t="s">
        <v>172</v>
      </c>
      <c r="D21" s="3" t="s">
        <v>49</v>
      </c>
      <c r="E21" s="3" t="s">
        <v>50</v>
      </c>
      <c r="F21" s="3" t="s">
        <v>165</v>
      </c>
      <c r="G21" s="3" t="s">
        <v>166</v>
      </c>
      <c r="H21" s="3" t="s">
        <v>0</v>
      </c>
      <c r="I21" s="3" t="s">
        <v>173</v>
      </c>
      <c r="J21" s="3" t="s">
        <v>174</v>
      </c>
      <c r="K21" s="3" t="s">
        <v>175</v>
      </c>
      <c r="L21" s="3" t="s">
        <v>176</v>
      </c>
      <c r="M21" s="3">
        <v>10</v>
      </c>
      <c r="N21" s="3">
        <v>7</v>
      </c>
      <c r="O21" s="3" t="s">
        <v>55</v>
      </c>
      <c r="P21" s="3" t="s">
        <v>44</v>
      </c>
      <c r="Q21" s="3">
        <v>0</v>
      </c>
      <c r="R21" s="3">
        <v>0</v>
      </c>
      <c r="S21" s="3">
        <v>0</v>
      </c>
      <c r="T21" s="3">
        <v>0</v>
      </c>
      <c r="U21" s="3">
        <v>1</v>
      </c>
      <c r="V21" s="3" t="s">
        <v>177</v>
      </c>
      <c r="W21" s="3">
        <v>0</v>
      </c>
      <c r="X21" s="3">
        <v>1</v>
      </c>
      <c r="Y21" s="3">
        <v>1</v>
      </c>
      <c r="Z21" s="3">
        <v>1</v>
      </c>
      <c r="AA21" s="3">
        <v>0</v>
      </c>
      <c r="AB21" s="3">
        <v>0</v>
      </c>
      <c r="AC21" s="3">
        <v>12</v>
      </c>
      <c r="AD21" s="3" t="s">
        <v>0</v>
      </c>
      <c r="AE21" s="3" t="s">
        <v>57</v>
      </c>
    </row>
    <row r="22" spans="1:31" ht="38.25" x14ac:dyDescent="0.2">
      <c r="A22" s="4" t="str">
        <f>HYPERLINK("http://www.patentics.cn/invokexml.do?sf=ShowPatent&amp;spn=CN103696963B&amp;sv=6cbcb0e9adc58b97850b2865fae3e17f","CN103696963B")</f>
        <v>CN103696963B</v>
      </c>
      <c r="B22" s="2" t="s">
        <v>178</v>
      </c>
      <c r="C22" s="2" t="s">
        <v>179</v>
      </c>
      <c r="D22" s="2" t="s">
        <v>180</v>
      </c>
      <c r="E22" s="2" t="s">
        <v>36</v>
      </c>
      <c r="F22" s="2" t="s">
        <v>181</v>
      </c>
      <c r="G22" s="2" t="s">
        <v>182</v>
      </c>
      <c r="H22" s="2" t="s">
        <v>0</v>
      </c>
      <c r="I22" s="2" t="s">
        <v>183</v>
      </c>
      <c r="J22" s="2" t="s">
        <v>184</v>
      </c>
      <c r="K22" s="2" t="s">
        <v>185</v>
      </c>
      <c r="L22" s="2" t="s">
        <v>186</v>
      </c>
      <c r="M22" s="2">
        <v>11</v>
      </c>
      <c r="N22" s="2">
        <v>17</v>
      </c>
      <c r="O22" s="2" t="s">
        <v>43</v>
      </c>
      <c r="P22" s="2" t="s">
        <v>44</v>
      </c>
      <c r="Q22" s="2">
        <v>8</v>
      </c>
      <c r="R22" s="2">
        <v>0</v>
      </c>
      <c r="S22" s="2">
        <v>8</v>
      </c>
      <c r="T22" s="2">
        <v>3</v>
      </c>
      <c r="U22" s="2">
        <v>0</v>
      </c>
      <c r="V22" s="2" t="s">
        <v>45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 t="s">
        <v>0</v>
      </c>
      <c r="AD22" s="2">
        <v>3</v>
      </c>
      <c r="AE22" s="2" t="s">
        <v>46</v>
      </c>
    </row>
    <row r="23" spans="1:31" ht="38.25" x14ac:dyDescent="0.2">
      <c r="A23" s="5" t="str">
        <f>HYPERLINK("http://www.patentics.cn/invokexml.do?sf=ShowPatent&amp;spn=CN202937450&amp;sv=f867a42820a785148f0817e8c9646c7a","CN202937450")</f>
        <v>CN202937450</v>
      </c>
      <c r="B23" s="3" t="s">
        <v>187</v>
      </c>
      <c r="C23" s="3" t="s">
        <v>188</v>
      </c>
      <c r="D23" s="3" t="s">
        <v>189</v>
      </c>
      <c r="E23" s="3" t="s">
        <v>190</v>
      </c>
      <c r="F23" s="3" t="s">
        <v>191</v>
      </c>
      <c r="G23" s="3" t="s">
        <v>192</v>
      </c>
      <c r="H23" s="3" t="s">
        <v>0</v>
      </c>
      <c r="I23" s="3" t="s">
        <v>193</v>
      </c>
      <c r="J23" s="3" t="s">
        <v>194</v>
      </c>
      <c r="K23" s="3" t="s">
        <v>185</v>
      </c>
      <c r="L23" s="3" t="s">
        <v>195</v>
      </c>
      <c r="M23" s="3">
        <v>5</v>
      </c>
      <c r="N23" s="3">
        <v>11</v>
      </c>
      <c r="O23" s="3" t="s">
        <v>55</v>
      </c>
      <c r="P23" s="3" t="s">
        <v>44</v>
      </c>
      <c r="Q23" s="3">
        <v>0</v>
      </c>
      <c r="R23" s="3">
        <v>0</v>
      </c>
      <c r="S23" s="3">
        <v>0</v>
      </c>
      <c r="T23" s="3">
        <v>0</v>
      </c>
      <c r="U23" s="3">
        <v>1</v>
      </c>
      <c r="V23" s="3" t="s">
        <v>113</v>
      </c>
      <c r="W23" s="3">
        <v>0</v>
      </c>
      <c r="X23" s="3">
        <v>1</v>
      </c>
      <c r="Y23" s="3">
        <v>1</v>
      </c>
      <c r="Z23" s="3">
        <v>1</v>
      </c>
      <c r="AA23" s="3">
        <v>0</v>
      </c>
      <c r="AB23" s="3">
        <v>0</v>
      </c>
      <c r="AC23" s="3">
        <v>12</v>
      </c>
      <c r="AD23" s="3" t="s">
        <v>0</v>
      </c>
      <c r="AE23" s="3" t="s">
        <v>46</v>
      </c>
    </row>
    <row r="24" spans="1:31" ht="51" x14ac:dyDescent="0.2">
      <c r="A24" s="5" t="str">
        <f>HYPERLINK("http://www.patentics.cn/invokexml.do?sf=ShowPatent&amp;spn=CN202746210&amp;sv=ce39ff580c50ff3298d8d6d4bf324687","CN202746210")</f>
        <v>CN202746210</v>
      </c>
      <c r="B24" s="3" t="s">
        <v>196</v>
      </c>
      <c r="C24" s="3" t="s">
        <v>197</v>
      </c>
      <c r="D24" s="3" t="s">
        <v>189</v>
      </c>
      <c r="E24" s="3" t="s">
        <v>190</v>
      </c>
      <c r="F24" s="3" t="s">
        <v>198</v>
      </c>
      <c r="G24" s="3" t="s">
        <v>199</v>
      </c>
      <c r="H24" s="3" t="s">
        <v>0</v>
      </c>
      <c r="I24" s="3" t="s">
        <v>200</v>
      </c>
      <c r="J24" s="3" t="s">
        <v>201</v>
      </c>
      <c r="K24" s="3" t="s">
        <v>185</v>
      </c>
      <c r="L24" s="3" t="s">
        <v>202</v>
      </c>
      <c r="M24" s="3">
        <v>13</v>
      </c>
      <c r="N24" s="3">
        <v>15</v>
      </c>
      <c r="O24" s="3" t="s">
        <v>55</v>
      </c>
      <c r="P24" s="3" t="s">
        <v>44</v>
      </c>
      <c r="Q24" s="3">
        <v>1</v>
      </c>
      <c r="R24" s="3">
        <v>1</v>
      </c>
      <c r="S24" s="3">
        <v>0</v>
      </c>
      <c r="T24" s="3">
        <v>1</v>
      </c>
      <c r="U24" s="3">
        <v>2</v>
      </c>
      <c r="V24" s="3" t="s">
        <v>203</v>
      </c>
      <c r="W24" s="3">
        <v>1</v>
      </c>
      <c r="X24" s="3">
        <v>1</v>
      </c>
      <c r="Y24" s="3">
        <v>2</v>
      </c>
      <c r="Z24" s="3">
        <v>1</v>
      </c>
      <c r="AA24" s="3">
        <v>0</v>
      </c>
      <c r="AB24" s="3">
        <v>0</v>
      </c>
      <c r="AC24" s="3">
        <v>12</v>
      </c>
      <c r="AD24" s="3" t="s">
        <v>0</v>
      </c>
      <c r="AE24" s="3" t="s">
        <v>57</v>
      </c>
    </row>
    <row r="25" spans="1:31" ht="51" x14ac:dyDescent="0.2">
      <c r="A25" s="5" t="str">
        <f>HYPERLINK("http://www.patentics.cn/invokexml.do?sf=ShowPatent&amp;spn=CN202266433&amp;sv=f3c64723df1f95980600344f87745cb0","CN202266433")</f>
        <v>CN202266433</v>
      </c>
      <c r="B25" s="3" t="s">
        <v>204</v>
      </c>
      <c r="C25" s="3" t="s">
        <v>205</v>
      </c>
      <c r="D25" s="3" t="s">
        <v>189</v>
      </c>
      <c r="E25" s="3" t="s">
        <v>190</v>
      </c>
      <c r="F25" s="3" t="s">
        <v>206</v>
      </c>
      <c r="G25" s="3" t="s">
        <v>207</v>
      </c>
      <c r="H25" s="3" t="s">
        <v>0</v>
      </c>
      <c r="I25" s="3" t="s">
        <v>208</v>
      </c>
      <c r="J25" s="3" t="s">
        <v>209</v>
      </c>
      <c r="K25" s="3" t="s">
        <v>185</v>
      </c>
      <c r="L25" s="3" t="s">
        <v>195</v>
      </c>
      <c r="M25" s="3">
        <v>3</v>
      </c>
      <c r="N25" s="3">
        <v>34</v>
      </c>
      <c r="O25" s="3" t="s">
        <v>55</v>
      </c>
      <c r="P25" s="3" t="s">
        <v>44</v>
      </c>
      <c r="Q25" s="3">
        <v>0</v>
      </c>
      <c r="R25" s="3">
        <v>0</v>
      </c>
      <c r="S25" s="3">
        <v>0</v>
      </c>
      <c r="T25" s="3">
        <v>0</v>
      </c>
      <c r="U25" s="3">
        <v>1</v>
      </c>
      <c r="V25" s="3" t="s">
        <v>113</v>
      </c>
      <c r="W25" s="3">
        <v>0</v>
      </c>
      <c r="X25" s="3">
        <v>1</v>
      </c>
      <c r="Y25" s="3">
        <v>1</v>
      </c>
      <c r="Z25" s="3">
        <v>1</v>
      </c>
      <c r="AA25" s="3">
        <v>0</v>
      </c>
      <c r="AB25" s="3">
        <v>0</v>
      </c>
      <c r="AC25" s="3">
        <v>12</v>
      </c>
      <c r="AD25" s="3" t="s">
        <v>0</v>
      </c>
      <c r="AE25" s="3" t="s">
        <v>46</v>
      </c>
    </row>
    <row r="26" spans="1:31" ht="25.5" x14ac:dyDescent="0.2">
      <c r="A26" s="4" t="str">
        <f>HYPERLINK("http://www.patentics.cn/invokexml.do?sf=ShowPatent&amp;spn=CN103511259B&amp;sv=85b4b02485554cb980641affbb90dff3","CN103511259B")</f>
        <v>CN103511259B</v>
      </c>
      <c r="B26" s="2" t="s">
        <v>210</v>
      </c>
      <c r="C26" s="2" t="s">
        <v>211</v>
      </c>
      <c r="D26" s="2" t="s">
        <v>180</v>
      </c>
      <c r="E26" s="2" t="s">
        <v>36</v>
      </c>
      <c r="F26" s="2" t="s">
        <v>212</v>
      </c>
      <c r="G26" s="2" t="s">
        <v>213</v>
      </c>
      <c r="H26" s="2" t="s">
        <v>0</v>
      </c>
      <c r="I26" s="2" t="s">
        <v>214</v>
      </c>
      <c r="J26" s="2" t="s">
        <v>215</v>
      </c>
      <c r="K26" s="2" t="s">
        <v>185</v>
      </c>
      <c r="L26" s="2" t="s">
        <v>216</v>
      </c>
      <c r="M26" s="2">
        <v>20</v>
      </c>
      <c r="N26" s="2">
        <v>29</v>
      </c>
      <c r="O26" s="2" t="s">
        <v>43</v>
      </c>
      <c r="P26" s="2" t="s">
        <v>44</v>
      </c>
      <c r="Q26" s="2">
        <v>5</v>
      </c>
      <c r="R26" s="2">
        <v>1</v>
      </c>
      <c r="S26" s="2">
        <v>4</v>
      </c>
      <c r="T26" s="2">
        <v>3</v>
      </c>
      <c r="U26" s="2">
        <v>0</v>
      </c>
      <c r="V26" s="2" t="s">
        <v>45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 t="s">
        <v>0</v>
      </c>
      <c r="AD26" s="2">
        <v>3</v>
      </c>
      <c r="AE26" s="2" t="s">
        <v>46</v>
      </c>
    </row>
    <row r="27" spans="1:31" ht="25.5" x14ac:dyDescent="0.2">
      <c r="A27" s="5" t="str">
        <f>HYPERLINK("http://www.patentics.cn/invokexml.do?sf=ShowPatent&amp;spn=CN202579189&amp;sv=e3e8b7fc9e5e46d833605858e40f5d77","CN202579189")</f>
        <v>CN202579189</v>
      </c>
      <c r="B27" s="3" t="s">
        <v>217</v>
      </c>
      <c r="C27" s="3" t="s">
        <v>218</v>
      </c>
      <c r="D27" s="3" t="s">
        <v>219</v>
      </c>
      <c r="E27" s="3" t="s">
        <v>50</v>
      </c>
      <c r="F27" s="3" t="s">
        <v>220</v>
      </c>
      <c r="G27" s="3" t="s">
        <v>221</v>
      </c>
      <c r="H27" s="3" t="s">
        <v>0</v>
      </c>
      <c r="I27" s="3" t="s">
        <v>222</v>
      </c>
      <c r="J27" s="3" t="s">
        <v>223</v>
      </c>
      <c r="K27" s="3" t="s">
        <v>185</v>
      </c>
      <c r="L27" s="3" t="s">
        <v>216</v>
      </c>
      <c r="M27" s="3">
        <v>2</v>
      </c>
      <c r="N27" s="3">
        <v>33</v>
      </c>
      <c r="O27" s="3" t="s">
        <v>55</v>
      </c>
      <c r="P27" s="3" t="s">
        <v>44</v>
      </c>
      <c r="Q27" s="3">
        <v>1</v>
      </c>
      <c r="R27" s="3">
        <v>1</v>
      </c>
      <c r="S27" s="3">
        <v>0</v>
      </c>
      <c r="T27" s="3">
        <v>1</v>
      </c>
      <c r="U27" s="3">
        <v>1</v>
      </c>
      <c r="V27" s="3" t="s">
        <v>224</v>
      </c>
      <c r="W27" s="3">
        <v>0</v>
      </c>
      <c r="X27" s="3">
        <v>1</v>
      </c>
      <c r="Y27" s="3">
        <v>1</v>
      </c>
      <c r="Z27" s="3">
        <v>1</v>
      </c>
      <c r="AA27" s="3">
        <v>0</v>
      </c>
      <c r="AB27" s="3">
        <v>0</v>
      </c>
      <c r="AC27" s="3">
        <v>12</v>
      </c>
      <c r="AD27" s="3" t="s">
        <v>0</v>
      </c>
      <c r="AE27" s="3" t="s">
        <v>46</v>
      </c>
    </row>
    <row r="28" spans="1:31" ht="63.75" x14ac:dyDescent="0.2">
      <c r="A28" s="5" t="str">
        <f>HYPERLINK("http://www.patentics.cn/invokexml.do?sf=ShowPatent&amp;spn=CN102364107&amp;sv=26f4a90b4d156341e9188fc88103793f","CN102364107")</f>
        <v>CN102364107</v>
      </c>
      <c r="B28" s="3" t="s">
        <v>225</v>
      </c>
      <c r="C28" s="3" t="s">
        <v>226</v>
      </c>
      <c r="D28" s="3" t="s">
        <v>189</v>
      </c>
      <c r="E28" s="3" t="s">
        <v>190</v>
      </c>
      <c r="F28" s="3" t="s">
        <v>227</v>
      </c>
      <c r="G28" s="3" t="s">
        <v>207</v>
      </c>
      <c r="H28" s="3" t="s">
        <v>0</v>
      </c>
      <c r="I28" s="3" t="s">
        <v>228</v>
      </c>
      <c r="J28" s="3" t="s">
        <v>229</v>
      </c>
      <c r="K28" s="3" t="s">
        <v>185</v>
      </c>
      <c r="L28" s="3" t="s">
        <v>216</v>
      </c>
      <c r="M28" s="3">
        <v>8</v>
      </c>
      <c r="N28" s="3">
        <v>16</v>
      </c>
      <c r="O28" s="3" t="s">
        <v>75</v>
      </c>
      <c r="P28" s="3" t="s">
        <v>44</v>
      </c>
      <c r="Q28" s="3">
        <v>0</v>
      </c>
      <c r="R28" s="3">
        <v>0</v>
      </c>
      <c r="S28" s="3">
        <v>0</v>
      </c>
      <c r="T28" s="3">
        <v>0</v>
      </c>
      <c r="U28" s="3">
        <v>1</v>
      </c>
      <c r="V28" s="3" t="s">
        <v>224</v>
      </c>
      <c r="W28" s="3">
        <v>0</v>
      </c>
      <c r="X28" s="3">
        <v>1</v>
      </c>
      <c r="Y28" s="3">
        <v>1</v>
      </c>
      <c r="Z28" s="3">
        <v>1</v>
      </c>
      <c r="AA28" s="3">
        <v>0</v>
      </c>
      <c r="AB28" s="3">
        <v>0</v>
      </c>
      <c r="AC28" s="3">
        <v>12</v>
      </c>
      <c r="AD28" s="3" t="s">
        <v>0</v>
      </c>
      <c r="AE28" s="3" t="s">
        <v>46</v>
      </c>
    </row>
    <row r="29" spans="1:31" ht="38.25" x14ac:dyDescent="0.2">
      <c r="A29" s="5" t="str">
        <f>HYPERLINK("http://www.patentics.cn/invokexml.do?sf=ShowPatent&amp;spn=CN202280620&amp;sv=f5f465460f0a6493a19547265f6dae39","CN202280620")</f>
        <v>CN202280620</v>
      </c>
      <c r="B29" s="3" t="s">
        <v>230</v>
      </c>
      <c r="C29" s="3" t="s">
        <v>218</v>
      </c>
      <c r="D29" s="3" t="s">
        <v>189</v>
      </c>
      <c r="E29" s="3" t="s">
        <v>190</v>
      </c>
      <c r="F29" s="3" t="s">
        <v>220</v>
      </c>
      <c r="G29" s="3" t="s">
        <v>221</v>
      </c>
      <c r="H29" s="3" t="s">
        <v>0</v>
      </c>
      <c r="I29" s="3" t="s">
        <v>231</v>
      </c>
      <c r="J29" s="3" t="s">
        <v>232</v>
      </c>
      <c r="K29" s="3" t="s">
        <v>185</v>
      </c>
      <c r="L29" s="3" t="s">
        <v>216</v>
      </c>
      <c r="M29" s="3">
        <v>5</v>
      </c>
      <c r="N29" s="3">
        <v>45</v>
      </c>
      <c r="O29" s="3" t="s">
        <v>55</v>
      </c>
      <c r="P29" s="3" t="s">
        <v>44</v>
      </c>
      <c r="Q29" s="3">
        <v>1</v>
      </c>
      <c r="R29" s="3">
        <v>1</v>
      </c>
      <c r="S29" s="3">
        <v>0</v>
      </c>
      <c r="T29" s="3">
        <v>1</v>
      </c>
      <c r="U29" s="3">
        <v>1</v>
      </c>
      <c r="V29" s="3" t="s">
        <v>224</v>
      </c>
      <c r="W29" s="3">
        <v>0</v>
      </c>
      <c r="X29" s="3">
        <v>1</v>
      </c>
      <c r="Y29" s="3">
        <v>1</v>
      </c>
      <c r="Z29" s="3">
        <v>1</v>
      </c>
      <c r="AA29" s="3">
        <v>0</v>
      </c>
      <c r="AB29" s="3">
        <v>0</v>
      </c>
      <c r="AC29" s="3">
        <v>12</v>
      </c>
      <c r="AD29" s="3" t="s">
        <v>0</v>
      </c>
      <c r="AE29" s="3" t="s">
        <v>46</v>
      </c>
    </row>
    <row r="30" spans="1:31" ht="38.25" x14ac:dyDescent="0.2">
      <c r="A30" s="4" t="str">
        <f>HYPERLINK("http://www.patentics.cn/invokexml.do?sf=ShowPatent&amp;spn=CN102721151B&amp;sv=7b0f551d77dd07f1433f81be1886dfae","CN102721151B")</f>
        <v>CN102721151B</v>
      </c>
      <c r="B30" s="2" t="s">
        <v>233</v>
      </c>
      <c r="C30" s="2" t="s">
        <v>234</v>
      </c>
      <c r="D30" s="2" t="s">
        <v>79</v>
      </c>
      <c r="E30" s="2" t="s">
        <v>36</v>
      </c>
      <c r="F30" s="2" t="s">
        <v>235</v>
      </c>
      <c r="G30" s="2" t="s">
        <v>236</v>
      </c>
      <c r="H30" s="2" t="s">
        <v>237</v>
      </c>
      <c r="I30" s="2" t="s">
        <v>237</v>
      </c>
      <c r="J30" s="2" t="s">
        <v>238</v>
      </c>
      <c r="K30" s="2" t="s">
        <v>41</v>
      </c>
      <c r="L30" s="2" t="s">
        <v>91</v>
      </c>
      <c r="M30" s="2">
        <v>2</v>
      </c>
      <c r="N30" s="2">
        <v>42</v>
      </c>
      <c r="O30" s="2" t="s">
        <v>43</v>
      </c>
      <c r="P30" s="2" t="s">
        <v>44</v>
      </c>
      <c r="Q30" s="2">
        <v>8</v>
      </c>
      <c r="R30" s="2">
        <v>1</v>
      </c>
      <c r="S30" s="2">
        <v>7</v>
      </c>
      <c r="T30" s="2">
        <v>6</v>
      </c>
      <c r="U30" s="2">
        <v>0</v>
      </c>
      <c r="V30" s="2" t="s">
        <v>45</v>
      </c>
      <c r="W30" s="2">
        <v>0</v>
      </c>
      <c r="X30" s="2">
        <v>0</v>
      </c>
      <c r="Y30" s="2">
        <v>0</v>
      </c>
      <c r="Z30" s="2">
        <v>0</v>
      </c>
      <c r="AA30" s="2">
        <v>1</v>
      </c>
      <c r="AB30" s="2">
        <v>1</v>
      </c>
      <c r="AC30" s="2" t="s">
        <v>0</v>
      </c>
      <c r="AD30" s="2">
        <v>3</v>
      </c>
      <c r="AE30" s="2" t="s">
        <v>46</v>
      </c>
    </row>
    <row r="31" spans="1:31" ht="38.25" x14ac:dyDescent="0.2">
      <c r="A31" s="5" t="str">
        <f>HYPERLINK("http://www.patentics.cn/invokexml.do?sf=ShowPatent&amp;spn=CN201569112&amp;sv=b1b34a26ca90d198b084483d81dc8ad9","CN201569112")</f>
        <v>CN201569112</v>
      </c>
      <c r="B31" s="3" t="s">
        <v>85</v>
      </c>
      <c r="C31" s="3" t="s">
        <v>86</v>
      </c>
      <c r="D31" s="3" t="s">
        <v>49</v>
      </c>
      <c r="E31" s="3" t="s">
        <v>50</v>
      </c>
      <c r="F31" s="3" t="s">
        <v>87</v>
      </c>
      <c r="G31" s="3" t="s">
        <v>88</v>
      </c>
      <c r="H31" s="3" t="s">
        <v>0</v>
      </c>
      <c r="I31" s="3" t="s">
        <v>89</v>
      </c>
      <c r="J31" s="3" t="s">
        <v>90</v>
      </c>
      <c r="K31" s="3" t="s">
        <v>41</v>
      </c>
      <c r="L31" s="3" t="s">
        <v>91</v>
      </c>
      <c r="M31" s="3">
        <v>8</v>
      </c>
      <c r="N31" s="3">
        <v>12</v>
      </c>
      <c r="O31" s="3" t="s">
        <v>55</v>
      </c>
      <c r="P31" s="3" t="s">
        <v>44</v>
      </c>
      <c r="Q31" s="3">
        <v>0</v>
      </c>
      <c r="R31" s="3">
        <v>0</v>
      </c>
      <c r="S31" s="3">
        <v>0</v>
      </c>
      <c r="T31" s="3">
        <v>0</v>
      </c>
      <c r="U31" s="3">
        <v>3</v>
      </c>
      <c r="V31" s="3" t="s">
        <v>92</v>
      </c>
      <c r="W31" s="3">
        <v>0</v>
      </c>
      <c r="X31" s="3">
        <v>3</v>
      </c>
      <c r="Y31" s="3">
        <v>2</v>
      </c>
      <c r="Z31" s="3">
        <v>1</v>
      </c>
      <c r="AA31" s="3">
        <v>0</v>
      </c>
      <c r="AB31" s="3">
        <v>0</v>
      </c>
      <c r="AC31" s="3">
        <v>12</v>
      </c>
      <c r="AD31" s="3" t="s">
        <v>0</v>
      </c>
      <c r="AE31" s="3" t="s">
        <v>46</v>
      </c>
    </row>
    <row r="32" spans="1:31" ht="38.25" x14ac:dyDescent="0.2">
      <c r="A32" s="5" t="str">
        <f>HYPERLINK("http://www.patentics.cn/invokexml.do?sf=ShowPatent&amp;spn=CN102087041&amp;sv=6f87a3647b284bc570f16de6a0b3eefc","CN102087041")</f>
        <v>CN102087041</v>
      </c>
      <c r="B32" s="3" t="s">
        <v>239</v>
      </c>
      <c r="C32" s="3" t="s">
        <v>240</v>
      </c>
      <c r="D32" s="3" t="s">
        <v>49</v>
      </c>
      <c r="E32" s="3" t="s">
        <v>50</v>
      </c>
      <c r="F32" s="3" t="s">
        <v>241</v>
      </c>
      <c r="G32" s="3" t="s">
        <v>52</v>
      </c>
      <c r="H32" s="3" t="s">
        <v>242</v>
      </c>
      <c r="I32" s="3" t="s">
        <v>242</v>
      </c>
      <c r="J32" s="3" t="s">
        <v>243</v>
      </c>
      <c r="K32" s="3" t="s">
        <v>41</v>
      </c>
      <c r="L32" s="3" t="s">
        <v>84</v>
      </c>
      <c r="M32" s="3">
        <v>18</v>
      </c>
      <c r="N32" s="3">
        <v>14</v>
      </c>
      <c r="O32" s="3" t="s">
        <v>75</v>
      </c>
      <c r="P32" s="3" t="s">
        <v>44</v>
      </c>
      <c r="Q32" s="3">
        <v>0</v>
      </c>
      <c r="R32" s="3">
        <v>0</v>
      </c>
      <c r="S32" s="3">
        <v>0</v>
      </c>
      <c r="T32" s="3">
        <v>0</v>
      </c>
      <c r="U32" s="3">
        <v>1</v>
      </c>
      <c r="V32" s="3" t="s">
        <v>113</v>
      </c>
      <c r="W32" s="3">
        <v>0</v>
      </c>
      <c r="X32" s="3">
        <v>1</v>
      </c>
      <c r="Y32" s="3">
        <v>1</v>
      </c>
      <c r="Z32" s="3">
        <v>1</v>
      </c>
      <c r="AA32" s="3">
        <v>2</v>
      </c>
      <c r="AB32" s="3">
        <v>2</v>
      </c>
      <c r="AC32" s="3">
        <v>12</v>
      </c>
      <c r="AD32" s="3" t="s">
        <v>0</v>
      </c>
      <c r="AE32" s="3" t="s">
        <v>46</v>
      </c>
    </row>
    <row r="33" spans="1:31" ht="25.5" x14ac:dyDescent="0.2">
      <c r="A33" s="5" t="str">
        <f>HYPERLINK("http://www.patentics.cn/invokexml.do?sf=ShowPatent&amp;spn=CN102147137&amp;sv=9a75c40f0b2e04a0ae7874ca06785c52","CN102147137")</f>
        <v>CN102147137</v>
      </c>
      <c r="B33" s="3" t="s">
        <v>101</v>
      </c>
      <c r="C33" s="3" t="s">
        <v>102</v>
      </c>
      <c r="D33" s="3" t="s">
        <v>49</v>
      </c>
      <c r="E33" s="3" t="s">
        <v>50</v>
      </c>
      <c r="F33" s="3" t="s">
        <v>103</v>
      </c>
      <c r="G33" s="3" t="s">
        <v>104</v>
      </c>
      <c r="H33" s="3" t="s">
        <v>105</v>
      </c>
      <c r="I33" s="3" t="s">
        <v>105</v>
      </c>
      <c r="J33" s="3" t="s">
        <v>106</v>
      </c>
      <c r="K33" s="3" t="s">
        <v>41</v>
      </c>
      <c r="L33" s="3" t="s">
        <v>84</v>
      </c>
      <c r="M33" s="3">
        <v>11</v>
      </c>
      <c r="N33" s="3">
        <v>17</v>
      </c>
      <c r="O33" s="3" t="s">
        <v>75</v>
      </c>
      <c r="P33" s="3" t="s">
        <v>44</v>
      </c>
      <c r="Q33" s="3">
        <v>0</v>
      </c>
      <c r="R33" s="3">
        <v>0</v>
      </c>
      <c r="S33" s="3">
        <v>0</v>
      </c>
      <c r="T33" s="3">
        <v>0</v>
      </c>
      <c r="U33" s="3">
        <v>5</v>
      </c>
      <c r="V33" s="3" t="s">
        <v>107</v>
      </c>
      <c r="W33" s="3">
        <v>2</v>
      </c>
      <c r="X33" s="3">
        <v>3</v>
      </c>
      <c r="Y33" s="3">
        <v>3</v>
      </c>
      <c r="Z33" s="3">
        <v>1</v>
      </c>
      <c r="AA33" s="3">
        <v>1</v>
      </c>
      <c r="AB33" s="3">
        <v>1</v>
      </c>
      <c r="AC33" s="3">
        <v>12</v>
      </c>
      <c r="AD33" s="3" t="s">
        <v>0</v>
      </c>
      <c r="AE33" s="3" t="s">
        <v>46</v>
      </c>
    </row>
    <row r="34" spans="1:31" ht="25.5" x14ac:dyDescent="0.2">
      <c r="A34" s="4" t="str">
        <f>HYPERLINK("http://www.patentics.cn/invokexml.do?sf=ShowPatent&amp;spn=CN102012085B&amp;sv=bd05c40a0bd04c39cf4a9554f2085610","CN102012085B")</f>
        <v>CN102012085B</v>
      </c>
      <c r="B34" s="2" t="s">
        <v>244</v>
      </c>
      <c r="C34" s="2" t="s">
        <v>245</v>
      </c>
      <c r="D34" s="2" t="s">
        <v>246</v>
      </c>
      <c r="E34" s="2" t="s">
        <v>36</v>
      </c>
      <c r="F34" s="2" t="s">
        <v>247</v>
      </c>
      <c r="G34" s="2" t="s">
        <v>247</v>
      </c>
      <c r="H34" s="2" t="s">
        <v>248</v>
      </c>
      <c r="I34" s="2" t="s">
        <v>248</v>
      </c>
      <c r="J34" s="2" t="s">
        <v>249</v>
      </c>
      <c r="K34" s="2" t="s">
        <v>41</v>
      </c>
      <c r="L34" s="2" t="s">
        <v>69</v>
      </c>
      <c r="M34" s="2">
        <v>8</v>
      </c>
      <c r="N34" s="2">
        <v>18</v>
      </c>
      <c r="O34" s="2" t="s">
        <v>43</v>
      </c>
      <c r="P34" s="2" t="s">
        <v>44</v>
      </c>
      <c r="Q34" s="2">
        <v>7</v>
      </c>
      <c r="R34" s="2">
        <v>0</v>
      </c>
      <c r="S34" s="2">
        <v>7</v>
      </c>
      <c r="T34" s="2">
        <v>4</v>
      </c>
      <c r="U34" s="2">
        <v>0</v>
      </c>
      <c r="V34" s="2" t="s">
        <v>45</v>
      </c>
      <c r="W34" s="2">
        <v>0</v>
      </c>
      <c r="X34" s="2">
        <v>0</v>
      </c>
      <c r="Y34" s="2">
        <v>0</v>
      </c>
      <c r="Z34" s="2">
        <v>0</v>
      </c>
      <c r="AA34" s="2">
        <v>1</v>
      </c>
      <c r="AB34" s="2">
        <v>1</v>
      </c>
      <c r="AC34" s="2" t="s">
        <v>0</v>
      </c>
      <c r="AD34" s="2">
        <v>3</v>
      </c>
      <c r="AE34" s="2" t="s">
        <v>46</v>
      </c>
    </row>
    <row r="35" spans="1:31" ht="63.75" x14ac:dyDescent="0.2">
      <c r="A35" s="5" t="str">
        <f>HYPERLINK("http://www.patentics.cn/invokexml.do?sf=ShowPatent&amp;spn=CN201103992&amp;sv=d5a484203bfe17033166d741f694f644","CN201103992")</f>
        <v>CN201103992</v>
      </c>
      <c r="B35" s="3" t="s">
        <v>250</v>
      </c>
      <c r="C35" s="3" t="s">
        <v>251</v>
      </c>
      <c r="D35" s="3" t="s">
        <v>49</v>
      </c>
      <c r="E35" s="3" t="s">
        <v>50</v>
      </c>
      <c r="F35" s="3" t="s">
        <v>252</v>
      </c>
      <c r="G35" s="3" t="s">
        <v>253</v>
      </c>
      <c r="H35" s="3" t="s">
        <v>0</v>
      </c>
      <c r="I35" s="3" t="s">
        <v>254</v>
      </c>
      <c r="J35" s="3" t="s">
        <v>98</v>
      </c>
      <c r="K35" s="3" t="s">
        <v>41</v>
      </c>
      <c r="L35" s="3" t="s">
        <v>255</v>
      </c>
      <c r="M35" s="3">
        <v>10</v>
      </c>
      <c r="N35" s="3">
        <v>18</v>
      </c>
      <c r="O35" s="3" t="s">
        <v>55</v>
      </c>
      <c r="P35" s="3" t="s">
        <v>44</v>
      </c>
      <c r="Q35" s="3">
        <v>0</v>
      </c>
      <c r="R35" s="3">
        <v>0</v>
      </c>
      <c r="S35" s="3">
        <v>0</v>
      </c>
      <c r="T35" s="3">
        <v>0</v>
      </c>
      <c r="U35" s="3">
        <v>2</v>
      </c>
      <c r="V35" s="3" t="s">
        <v>256</v>
      </c>
      <c r="W35" s="3">
        <v>1</v>
      </c>
      <c r="X35" s="3">
        <v>1</v>
      </c>
      <c r="Y35" s="3">
        <v>2</v>
      </c>
      <c r="Z35" s="3">
        <v>1</v>
      </c>
      <c r="AA35" s="3">
        <v>0</v>
      </c>
      <c r="AB35" s="3">
        <v>0</v>
      </c>
      <c r="AC35" s="3">
        <v>12</v>
      </c>
      <c r="AD35" s="3" t="s">
        <v>0</v>
      </c>
      <c r="AE35" s="3" t="s">
        <v>46</v>
      </c>
    </row>
    <row r="36" spans="1:31" ht="63.75" x14ac:dyDescent="0.2">
      <c r="A36" s="5" t="str">
        <f>HYPERLINK("http://www.patentics.cn/invokexml.do?sf=ShowPatent&amp;spn=CN201093625&amp;sv=f9f1ef6058f1ac4838a9c0c6dcdde86b","CN201093625")</f>
        <v>CN201093625</v>
      </c>
      <c r="B36" s="3" t="s">
        <v>257</v>
      </c>
      <c r="C36" s="3" t="s">
        <v>258</v>
      </c>
      <c r="D36" s="3" t="s">
        <v>49</v>
      </c>
      <c r="E36" s="3" t="s">
        <v>50</v>
      </c>
      <c r="F36" s="3" t="s">
        <v>259</v>
      </c>
      <c r="G36" s="3" t="s">
        <v>253</v>
      </c>
      <c r="H36" s="3" t="s">
        <v>260</v>
      </c>
      <c r="I36" s="3" t="s">
        <v>260</v>
      </c>
      <c r="J36" s="3" t="s">
        <v>261</v>
      </c>
      <c r="K36" s="3" t="s">
        <v>41</v>
      </c>
      <c r="L36" s="3" t="s">
        <v>42</v>
      </c>
      <c r="M36" s="3">
        <v>10</v>
      </c>
      <c r="N36" s="3">
        <v>31</v>
      </c>
      <c r="O36" s="3" t="s">
        <v>55</v>
      </c>
      <c r="P36" s="3" t="s">
        <v>44</v>
      </c>
      <c r="Q36" s="3">
        <v>1</v>
      </c>
      <c r="R36" s="3">
        <v>0</v>
      </c>
      <c r="S36" s="3">
        <v>1</v>
      </c>
      <c r="T36" s="3">
        <v>1</v>
      </c>
      <c r="U36" s="3">
        <v>1</v>
      </c>
      <c r="V36" s="3" t="s">
        <v>177</v>
      </c>
      <c r="W36" s="3">
        <v>0</v>
      </c>
      <c r="X36" s="3">
        <v>1</v>
      </c>
      <c r="Y36" s="3">
        <v>1</v>
      </c>
      <c r="Z36" s="3">
        <v>1</v>
      </c>
      <c r="AA36" s="3">
        <v>1</v>
      </c>
      <c r="AB36" s="3">
        <v>2</v>
      </c>
      <c r="AC36" s="3">
        <v>12</v>
      </c>
      <c r="AD36" s="3" t="s">
        <v>0</v>
      </c>
      <c r="AE36" s="3" t="s">
        <v>57</v>
      </c>
    </row>
    <row r="37" spans="1:31" ht="76.5" x14ac:dyDescent="0.2">
      <c r="A37" s="5" t="str">
        <f>HYPERLINK("http://www.patentics.cn/invokexml.do?sf=ShowPatent&amp;spn=CN201053729&amp;sv=397023f3bb4a62206c90f1f047806c03","CN201053729")</f>
        <v>CN201053729</v>
      </c>
      <c r="B37" s="3" t="s">
        <v>262</v>
      </c>
      <c r="C37" s="3" t="s">
        <v>258</v>
      </c>
      <c r="D37" s="3" t="s">
        <v>49</v>
      </c>
      <c r="E37" s="3" t="s">
        <v>50</v>
      </c>
      <c r="F37" s="3" t="s">
        <v>263</v>
      </c>
      <c r="G37" s="3" t="s">
        <v>264</v>
      </c>
      <c r="H37" s="3" t="s">
        <v>265</v>
      </c>
      <c r="I37" s="3" t="s">
        <v>265</v>
      </c>
      <c r="J37" s="3" t="s">
        <v>266</v>
      </c>
      <c r="K37" s="3" t="s">
        <v>41</v>
      </c>
      <c r="L37" s="3" t="s">
        <v>42</v>
      </c>
      <c r="M37" s="3">
        <v>8</v>
      </c>
      <c r="N37" s="3">
        <v>35</v>
      </c>
      <c r="O37" s="3" t="s">
        <v>55</v>
      </c>
      <c r="P37" s="3" t="s">
        <v>44</v>
      </c>
      <c r="Q37" s="3">
        <v>1</v>
      </c>
      <c r="R37" s="3">
        <v>0</v>
      </c>
      <c r="S37" s="3">
        <v>1</v>
      </c>
      <c r="T37" s="3">
        <v>1</v>
      </c>
      <c r="U37" s="3">
        <v>4</v>
      </c>
      <c r="V37" s="3" t="s">
        <v>267</v>
      </c>
      <c r="W37" s="3">
        <v>2</v>
      </c>
      <c r="X37" s="3">
        <v>2</v>
      </c>
      <c r="Y37" s="3">
        <v>3</v>
      </c>
      <c r="Z37" s="3">
        <v>2</v>
      </c>
      <c r="AA37" s="3">
        <v>1</v>
      </c>
      <c r="AB37" s="3">
        <v>2</v>
      </c>
      <c r="AC37" s="3">
        <v>12</v>
      </c>
      <c r="AD37" s="3" t="s">
        <v>0</v>
      </c>
      <c r="AE37" s="3" t="s">
        <v>57</v>
      </c>
    </row>
    <row r="38" spans="1:31" ht="25.5" x14ac:dyDescent="0.2">
      <c r="A38" s="4" t="str">
        <f>HYPERLINK("http://www.patentics.cn/invokexml.do?sf=ShowPatent&amp;spn=CN202835593&amp;sv=7930dbf0a0084d94b9727469bbf226d3","CN202835593")</f>
        <v>CN202835593</v>
      </c>
      <c r="B38" s="2" t="s">
        <v>268</v>
      </c>
      <c r="C38" s="2" t="s">
        <v>269</v>
      </c>
      <c r="D38" s="2" t="s">
        <v>246</v>
      </c>
      <c r="E38" s="2" t="s">
        <v>36</v>
      </c>
      <c r="F38" s="2" t="s">
        <v>270</v>
      </c>
      <c r="G38" s="2" t="s">
        <v>271</v>
      </c>
      <c r="H38" s="2" t="s">
        <v>0</v>
      </c>
      <c r="I38" s="2" t="s">
        <v>272</v>
      </c>
      <c r="J38" s="2" t="s">
        <v>273</v>
      </c>
      <c r="K38" s="2" t="s">
        <v>41</v>
      </c>
      <c r="L38" s="2" t="s">
        <v>274</v>
      </c>
      <c r="M38" s="2">
        <v>10</v>
      </c>
      <c r="N38" s="2">
        <v>9</v>
      </c>
      <c r="O38" s="2" t="s">
        <v>55</v>
      </c>
      <c r="P38" s="2" t="s">
        <v>44</v>
      </c>
      <c r="Q38" s="2">
        <v>4</v>
      </c>
      <c r="R38" s="2">
        <v>0</v>
      </c>
      <c r="S38" s="2">
        <v>4</v>
      </c>
      <c r="T38" s="2">
        <v>2</v>
      </c>
      <c r="U38" s="2">
        <v>0</v>
      </c>
      <c r="V38" s="2" t="s">
        <v>45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 t="s">
        <v>0</v>
      </c>
      <c r="AD38" s="2">
        <v>3</v>
      </c>
      <c r="AE38" s="2" t="s">
        <v>46</v>
      </c>
    </row>
    <row r="39" spans="1:31" ht="38.25" x14ac:dyDescent="0.2">
      <c r="A39" s="5" t="str">
        <f>HYPERLINK("http://www.patentics.cn/invokexml.do?sf=ShowPatent&amp;spn=CN200968818&amp;sv=d6787dba7601add55c2464c6d374bcc7","CN200968818")</f>
        <v>CN200968818</v>
      </c>
      <c r="B39" s="3" t="s">
        <v>275</v>
      </c>
      <c r="C39" s="3" t="s">
        <v>276</v>
      </c>
      <c r="D39" s="3" t="s">
        <v>277</v>
      </c>
      <c r="E39" s="3" t="s">
        <v>190</v>
      </c>
      <c r="F39" s="3" t="s">
        <v>278</v>
      </c>
      <c r="G39" s="3" t="s">
        <v>279</v>
      </c>
      <c r="H39" s="3" t="s">
        <v>0</v>
      </c>
      <c r="I39" s="3" t="s">
        <v>280</v>
      </c>
      <c r="J39" s="3" t="s">
        <v>281</v>
      </c>
      <c r="K39" s="3" t="s">
        <v>282</v>
      </c>
      <c r="L39" s="3" t="s">
        <v>283</v>
      </c>
      <c r="M39" s="3">
        <v>5</v>
      </c>
      <c r="N39" s="3">
        <v>21</v>
      </c>
      <c r="O39" s="3" t="s">
        <v>55</v>
      </c>
      <c r="P39" s="3" t="s">
        <v>44</v>
      </c>
      <c r="Q39" s="3">
        <v>0</v>
      </c>
      <c r="R39" s="3">
        <v>0</v>
      </c>
      <c r="S39" s="3">
        <v>0</v>
      </c>
      <c r="T39" s="3">
        <v>0</v>
      </c>
      <c r="U39" s="3">
        <v>1</v>
      </c>
      <c r="V39" s="3" t="s">
        <v>284</v>
      </c>
      <c r="W39" s="3">
        <v>0</v>
      </c>
      <c r="X39" s="3">
        <v>1</v>
      </c>
      <c r="Y39" s="3">
        <v>1</v>
      </c>
      <c r="Z39" s="3">
        <v>1</v>
      </c>
      <c r="AA39" s="3">
        <v>0</v>
      </c>
      <c r="AB39" s="3">
        <v>0</v>
      </c>
      <c r="AC39" s="3">
        <v>12</v>
      </c>
      <c r="AD39" s="3" t="s">
        <v>0</v>
      </c>
      <c r="AE39" s="3" t="s">
        <v>57</v>
      </c>
    </row>
    <row r="40" spans="1:31" ht="38.25" x14ac:dyDescent="0.2">
      <c r="A40" s="5" t="str">
        <f>HYPERLINK("http://www.patentics.cn/invokexml.do?sf=ShowPatent&amp;spn=CN200972357&amp;sv=edaa0fa7fae93ab81c3d91918745c73f","CN200972357")</f>
        <v>CN200972357</v>
      </c>
      <c r="B40" s="3" t="s">
        <v>285</v>
      </c>
      <c r="C40" s="3" t="s">
        <v>286</v>
      </c>
      <c r="D40" s="3" t="s">
        <v>277</v>
      </c>
      <c r="E40" s="3" t="s">
        <v>190</v>
      </c>
      <c r="F40" s="3" t="s">
        <v>278</v>
      </c>
      <c r="G40" s="3" t="s">
        <v>279</v>
      </c>
      <c r="H40" s="3" t="s">
        <v>0</v>
      </c>
      <c r="I40" s="3" t="s">
        <v>280</v>
      </c>
      <c r="J40" s="3" t="s">
        <v>287</v>
      </c>
      <c r="K40" s="3" t="s">
        <v>282</v>
      </c>
      <c r="L40" s="3" t="s">
        <v>283</v>
      </c>
      <c r="M40" s="3">
        <v>3</v>
      </c>
      <c r="N40" s="3">
        <v>21</v>
      </c>
      <c r="O40" s="3" t="s">
        <v>55</v>
      </c>
      <c r="P40" s="3" t="s">
        <v>44</v>
      </c>
      <c r="Q40" s="3">
        <v>0</v>
      </c>
      <c r="R40" s="3">
        <v>0</v>
      </c>
      <c r="S40" s="3">
        <v>0</v>
      </c>
      <c r="T40" s="3">
        <v>0</v>
      </c>
      <c r="U40" s="3">
        <v>1</v>
      </c>
      <c r="V40" s="3" t="s">
        <v>284</v>
      </c>
      <c r="W40" s="3">
        <v>0</v>
      </c>
      <c r="X40" s="3">
        <v>1</v>
      </c>
      <c r="Y40" s="3">
        <v>1</v>
      </c>
      <c r="Z40" s="3">
        <v>1</v>
      </c>
      <c r="AA40" s="3">
        <v>0</v>
      </c>
      <c r="AB40" s="3">
        <v>0</v>
      </c>
      <c r="AC40" s="3">
        <v>12</v>
      </c>
      <c r="AD40" s="3" t="s">
        <v>0</v>
      </c>
      <c r="AE40" s="3" t="s">
        <v>57</v>
      </c>
    </row>
    <row r="41" spans="1:31" ht="38.25" x14ac:dyDescent="0.2">
      <c r="A41" s="5" t="str">
        <f>HYPERLINK("http://www.patentics.cn/invokexml.do?sf=ShowPatent&amp;spn=CN200975853&amp;sv=68a6ac0bfb11c6c3ffe9b64e85c39cae","CN200975853")</f>
        <v>CN200975853</v>
      </c>
      <c r="B41" s="3" t="s">
        <v>288</v>
      </c>
      <c r="C41" s="3" t="s">
        <v>289</v>
      </c>
      <c r="D41" s="3" t="s">
        <v>277</v>
      </c>
      <c r="E41" s="3" t="s">
        <v>190</v>
      </c>
      <c r="F41" s="3" t="s">
        <v>278</v>
      </c>
      <c r="G41" s="3" t="s">
        <v>279</v>
      </c>
      <c r="H41" s="3" t="s">
        <v>0</v>
      </c>
      <c r="I41" s="3" t="s">
        <v>280</v>
      </c>
      <c r="J41" s="3" t="s">
        <v>290</v>
      </c>
      <c r="K41" s="3" t="s">
        <v>282</v>
      </c>
      <c r="L41" s="3" t="s">
        <v>283</v>
      </c>
      <c r="M41" s="3">
        <v>3</v>
      </c>
      <c r="N41" s="3">
        <v>19</v>
      </c>
      <c r="O41" s="3" t="s">
        <v>55</v>
      </c>
      <c r="P41" s="3" t="s">
        <v>44</v>
      </c>
      <c r="Q41" s="3">
        <v>0</v>
      </c>
      <c r="R41" s="3">
        <v>0</v>
      </c>
      <c r="S41" s="3">
        <v>0</v>
      </c>
      <c r="T41" s="3">
        <v>0</v>
      </c>
      <c r="U41" s="3">
        <v>1</v>
      </c>
      <c r="V41" s="3" t="s">
        <v>284</v>
      </c>
      <c r="W41" s="3">
        <v>0</v>
      </c>
      <c r="X41" s="3">
        <v>1</v>
      </c>
      <c r="Y41" s="3">
        <v>1</v>
      </c>
      <c r="Z41" s="3">
        <v>1</v>
      </c>
      <c r="AA41" s="3">
        <v>0</v>
      </c>
      <c r="AB41" s="3">
        <v>0</v>
      </c>
      <c r="AC41" s="3">
        <v>12</v>
      </c>
      <c r="AD41" s="3" t="s">
        <v>0</v>
      </c>
      <c r="AE41" s="3" t="s">
        <v>57</v>
      </c>
    </row>
    <row r="42" spans="1:31" ht="25.5" x14ac:dyDescent="0.2">
      <c r="A42" s="4" t="str">
        <f>HYPERLINK("http://www.patentics.cn/invokexml.do?sf=ShowPatent&amp;spn=CN103573622B&amp;sv=2fc9dbf45fd25c0e3ef0b11e7d396c05","CN103573622B")</f>
        <v>CN103573622B</v>
      </c>
      <c r="B42" s="2" t="s">
        <v>291</v>
      </c>
      <c r="C42" s="2" t="s">
        <v>292</v>
      </c>
      <c r="D42" s="2" t="s">
        <v>180</v>
      </c>
      <c r="E42" s="2" t="s">
        <v>36</v>
      </c>
      <c r="F42" s="2" t="s">
        <v>293</v>
      </c>
      <c r="G42" s="2" t="s">
        <v>293</v>
      </c>
      <c r="H42" s="2" t="s">
        <v>0</v>
      </c>
      <c r="I42" s="2" t="s">
        <v>294</v>
      </c>
      <c r="J42" s="2" t="s">
        <v>295</v>
      </c>
      <c r="K42" s="2" t="s">
        <v>185</v>
      </c>
      <c r="L42" s="2" t="s">
        <v>216</v>
      </c>
      <c r="M42" s="2">
        <v>7</v>
      </c>
      <c r="N42" s="2">
        <v>18</v>
      </c>
      <c r="O42" s="2" t="s">
        <v>43</v>
      </c>
      <c r="P42" s="2" t="s">
        <v>44</v>
      </c>
      <c r="Q42" s="2">
        <v>5</v>
      </c>
      <c r="R42" s="2">
        <v>0</v>
      </c>
      <c r="S42" s="2">
        <v>5</v>
      </c>
      <c r="T42" s="2">
        <v>4</v>
      </c>
      <c r="U42" s="2">
        <v>0</v>
      </c>
      <c r="V42" s="2" t="s">
        <v>45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 t="s">
        <v>0</v>
      </c>
      <c r="AD42" s="2">
        <v>2</v>
      </c>
      <c r="AE42" s="2" t="s">
        <v>46</v>
      </c>
    </row>
    <row r="43" spans="1:31" ht="63.75" x14ac:dyDescent="0.2">
      <c r="A43" s="5" t="str">
        <f>HYPERLINK("http://www.patentics.cn/invokexml.do?sf=ShowPatent&amp;spn=CN101539147&amp;sv=c1e8ea3de9f40cb4337f4978396e37bd","CN101539147")</f>
        <v>CN101539147</v>
      </c>
      <c r="B43" s="3" t="s">
        <v>296</v>
      </c>
      <c r="C43" s="3" t="s">
        <v>297</v>
      </c>
      <c r="D43" s="3" t="s">
        <v>189</v>
      </c>
      <c r="E43" s="3" t="s">
        <v>190</v>
      </c>
      <c r="F43" s="3" t="s">
        <v>298</v>
      </c>
      <c r="G43" s="3" t="s">
        <v>299</v>
      </c>
      <c r="H43" s="3" t="s">
        <v>0</v>
      </c>
      <c r="I43" s="3" t="s">
        <v>300</v>
      </c>
      <c r="J43" s="3" t="s">
        <v>301</v>
      </c>
      <c r="K43" s="3" t="s">
        <v>185</v>
      </c>
      <c r="L43" s="3" t="s">
        <v>195</v>
      </c>
      <c r="M43" s="3">
        <v>4</v>
      </c>
      <c r="N43" s="3">
        <v>10</v>
      </c>
      <c r="O43" s="3" t="s">
        <v>75</v>
      </c>
      <c r="P43" s="3" t="s">
        <v>44</v>
      </c>
      <c r="Q43" s="3">
        <v>0</v>
      </c>
      <c r="R43" s="3">
        <v>0</v>
      </c>
      <c r="S43" s="3">
        <v>0</v>
      </c>
      <c r="T43" s="3">
        <v>0</v>
      </c>
      <c r="U43" s="3">
        <v>1</v>
      </c>
      <c r="V43" s="3" t="s">
        <v>224</v>
      </c>
      <c r="W43" s="3">
        <v>0</v>
      </c>
      <c r="X43" s="3">
        <v>1</v>
      </c>
      <c r="Y43" s="3">
        <v>1</v>
      </c>
      <c r="Z43" s="3">
        <v>1</v>
      </c>
      <c r="AA43" s="3">
        <v>0</v>
      </c>
      <c r="AB43" s="3">
        <v>0</v>
      </c>
      <c r="AC43" s="3">
        <v>12</v>
      </c>
      <c r="AD43" s="3" t="s">
        <v>0</v>
      </c>
      <c r="AE43" s="3" t="s">
        <v>302</v>
      </c>
    </row>
    <row r="44" spans="1:31" ht="38.25" x14ac:dyDescent="0.2">
      <c r="A44" s="5" t="str">
        <f>HYPERLINK("http://www.patentics.cn/invokexml.do?sf=ShowPatent&amp;spn=CN103174653&amp;sv=d4d54c06f257d2b3b9035907c43a7d90","CN103174653")</f>
        <v>CN103174653</v>
      </c>
      <c r="B44" s="3" t="s">
        <v>303</v>
      </c>
      <c r="C44" s="3" t="s">
        <v>304</v>
      </c>
      <c r="D44" s="3" t="s">
        <v>189</v>
      </c>
      <c r="E44" s="3" t="s">
        <v>190</v>
      </c>
      <c r="F44" s="3" t="s">
        <v>199</v>
      </c>
      <c r="G44" s="3" t="s">
        <v>199</v>
      </c>
      <c r="H44" s="3" t="s">
        <v>0</v>
      </c>
      <c r="I44" s="3" t="s">
        <v>305</v>
      </c>
      <c r="J44" s="3" t="s">
        <v>306</v>
      </c>
      <c r="K44" s="3" t="s">
        <v>185</v>
      </c>
      <c r="L44" s="3" t="s">
        <v>202</v>
      </c>
      <c r="M44" s="3">
        <v>8</v>
      </c>
      <c r="N44" s="3">
        <v>16</v>
      </c>
      <c r="O44" s="3" t="s">
        <v>75</v>
      </c>
      <c r="P44" s="3" t="s">
        <v>44</v>
      </c>
      <c r="Q44" s="3">
        <v>0</v>
      </c>
      <c r="R44" s="3">
        <v>0</v>
      </c>
      <c r="S44" s="3">
        <v>0</v>
      </c>
      <c r="T44" s="3">
        <v>0</v>
      </c>
      <c r="U44" s="3">
        <v>4</v>
      </c>
      <c r="V44" s="3" t="s">
        <v>307</v>
      </c>
      <c r="W44" s="3">
        <v>3</v>
      </c>
      <c r="X44" s="3">
        <v>1</v>
      </c>
      <c r="Y44" s="3">
        <v>2</v>
      </c>
      <c r="Z44" s="3">
        <v>1</v>
      </c>
      <c r="AA44" s="3">
        <v>0</v>
      </c>
      <c r="AB44" s="3">
        <v>0</v>
      </c>
      <c r="AC44" s="3">
        <v>12</v>
      </c>
      <c r="AD44" s="3" t="s">
        <v>0</v>
      </c>
      <c r="AE44" s="3" t="s">
        <v>46</v>
      </c>
    </row>
    <row r="45" spans="1:31" ht="38.25" x14ac:dyDescent="0.2">
      <c r="A45" s="4" t="str">
        <f>HYPERLINK("http://www.patentics.cn/invokexml.do?sf=ShowPatent&amp;spn=CN103576010B&amp;sv=a35e9140d161a68f3ebe83b522a6734f","CN103576010B")</f>
        <v>CN103576010B</v>
      </c>
      <c r="B45" s="2" t="s">
        <v>308</v>
      </c>
      <c r="C45" s="2" t="s">
        <v>309</v>
      </c>
      <c r="D45" s="2" t="s">
        <v>35</v>
      </c>
      <c r="E45" s="2" t="s">
        <v>36</v>
      </c>
      <c r="F45" s="2" t="s">
        <v>310</v>
      </c>
      <c r="G45" s="2" t="s">
        <v>311</v>
      </c>
      <c r="H45" s="2" t="s">
        <v>0</v>
      </c>
      <c r="I45" s="2" t="s">
        <v>312</v>
      </c>
      <c r="J45" s="2" t="s">
        <v>40</v>
      </c>
      <c r="K45" s="2" t="s">
        <v>313</v>
      </c>
      <c r="L45" s="2" t="s">
        <v>314</v>
      </c>
      <c r="M45" s="2">
        <v>14</v>
      </c>
      <c r="N45" s="2">
        <v>28</v>
      </c>
      <c r="O45" s="2" t="s">
        <v>43</v>
      </c>
      <c r="P45" s="2" t="s">
        <v>44</v>
      </c>
      <c r="Q45" s="2">
        <v>2</v>
      </c>
      <c r="R45" s="2">
        <v>0</v>
      </c>
      <c r="S45" s="2">
        <v>2</v>
      </c>
      <c r="T45" s="2">
        <v>1</v>
      </c>
      <c r="U45" s="2">
        <v>0</v>
      </c>
      <c r="V45" s="2" t="s">
        <v>45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 t="s">
        <v>0</v>
      </c>
      <c r="AD45" s="2">
        <v>2</v>
      </c>
      <c r="AE45" s="2" t="s">
        <v>46</v>
      </c>
    </row>
    <row r="46" spans="1:31" ht="76.5" x14ac:dyDescent="0.2">
      <c r="A46" s="5" t="str">
        <f>HYPERLINK("http://www.patentics.cn/invokexml.do?sf=ShowPatent&amp;spn=CN2802509&amp;sv=fc23d71bd85bb6964e8dda0f9a2e1680","CN2802509")</f>
        <v>CN2802509</v>
      </c>
      <c r="B46" s="3" t="s">
        <v>315</v>
      </c>
      <c r="C46" s="3" t="s">
        <v>316</v>
      </c>
      <c r="D46" s="3" t="s">
        <v>49</v>
      </c>
      <c r="E46" s="3" t="s">
        <v>50</v>
      </c>
      <c r="F46" s="3" t="s">
        <v>317</v>
      </c>
      <c r="G46" s="3" t="s">
        <v>52</v>
      </c>
      <c r="H46" s="3" t="s">
        <v>0</v>
      </c>
      <c r="I46" s="3" t="s">
        <v>318</v>
      </c>
      <c r="J46" s="3" t="s">
        <v>319</v>
      </c>
      <c r="K46" s="3" t="s">
        <v>313</v>
      </c>
      <c r="L46" s="3" t="s">
        <v>320</v>
      </c>
      <c r="M46" s="3">
        <v>10</v>
      </c>
      <c r="N46" s="3">
        <v>9</v>
      </c>
      <c r="O46" s="3" t="s">
        <v>55</v>
      </c>
      <c r="P46" s="3" t="s">
        <v>44</v>
      </c>
      <c r="Q46" s="3">
        <v>0</v>
      </c>
      <c r="R46" s="3">
        <v>0</v>
      </c>
      <c r="S46" s="3">
        <v>0</v>
      </c>
      <c r="T46" s="3">
        <v>0</v>
      </c>
      <c r="U46" s="3">
        <v>4</v>
      </c>
      <c r="V46" s="3" t="s">
        <v>321</v>
      </c>
      <c r="W46" s="3">
        <v>1</v>
      </c>
      <c r="X46" s="3">
        <v>3</v>
      </c>
      <c r="Y46" s="3">
        <v>4</v>
      </c>
      <c r="Z46" s="3">
        <v>1</v>
      </c>
      <c r="AA46" s="3">
        <v>0</v>
      </c>
      <c r="AB46" s="3">
        <v>0</v>
      </c>
      <c r="AC46" s="3">
        <v>12</v>
      </c>
      <c r="AD46" s="3" t="s">
        <v>0</v>
      </c>
      <c r="AE46" s="3" t="s">
        <v>57</v>
      </c>
    </row>
    <row r="47" spans="1:31" ht="38.25" x14ac:dyDescent="0.2">
      <c r="A47" s="5" t="str">
        <f>HYPERLINK("http://www.patentics.cn/invokexml.do?sf=ShowPatent&amp;spn=CN201927712&amp;sv=0c7fa9185358c29c5d2c8e018e11bf9e","CN201927712")</f>
        <v>CN201927712</v>
      </c>
      <c r="B47" s="3" t="s">
        <v>322</v>
      </c>
      <c r="C47" s="3" t="s">
        <v>323</v>
      </c>
      <c r="D47" s="3" t="s">
        <v>49</v>
      </c>
      <c r="E47" s="3" t="s">
        <v>50</v>
      </c>
      <c r="F47" s="3" t="s">
        <v>324</v>
      </c>
      <c r="G47" s="3" t="s">
        <v>88</v>
      </c>
      <c r="H47" s="3" t="s">
        <v>0</v>
      </c>
      <c r="I47" s="3" t="s">
        <v>68</v>
      </c>
      <c r="J47" s="3" t="s">
        <v>106</v>
      </c>
      <c r="K47" s="3" t="s">
        <v>325</v>
      </c>
      <c r="L47" s="3" t="s">
        <v>326</v>
      </c>
      <c r="M47" s="3">
        <v>10</v>
      </c>
      <c r="N47" s="3">
        <v>10</v>
      </c>
      <c r="O47" s="3" t="s">
        <v>55</v>
      </c>
      <c r="P47" s="3" t="s">
        <v>44</v>
      </c>
      <c r="Q47" s="3">
        <v>0</v>
      </c>
      <c r="R47" s="3">
        <v>0</v>
      </c>
      <c r="S47" s="3">
        <v>0</v>
      </c>
      <c r="T47" s="3">
        <v>0</v>
      </c>
      <c r="U47" s="3">
        <v>1</v>
      </c>
      <c r="V47" s="3" t="s">
        <v>56</v>
      </c>
      <c r="W47" s="3">
        <v>0</v>
      </c>
      <c r="X47" s="3">
        <v>1</v>
      </c>
      <c r="Y47" s="3">
        <v>1</v>
      </c>
      <c r="Z47" s="3">
        <v>1</v>
      </c>
      <c r="AA47" s="3">
        <v>0</v>
      </c>
      <c r="AB47" s="3">
        <v>0</v>
      </c>
      <c r="AC47" s="3">
        <v>12</v>
      </c>
      <c r="AD47" s="3" t="s">
        <v>0</v>
      </c>
      <c r="AE47" s="3" t="s">
        <v>46</v>
      </c>
    </row>
    <row r="48" spans="1:31" ht="51" x14ac:dyDescent="0.2">
      <c r="A48" s="4" t="str">
        <f>HYPERLINK("http://www.patentics.cn/invokexml.do?sf=ShowPatent&amp;spn=CN103673098B&amp;sv=136920921617e8fb338c818dad8b5971","CN103673098B")</f>
        <v>CN103673098B</v>
      </c>
      <c r="B48" s="2" t="s">
        <v>327</v>
      </c>
      <c r="C48" s="2" t="s">
        <v>328</v>
      </c>
      <c r="D48" s="2" t="s">
        <v>79</v>
      </c>
      <c r="E48" s="2" t="s">
        <v>36</v>
      </c>
      <c r="F48" s="2" t="s">
        <v>329</v>
      </c>
      <c r="G48" s="2" t="s">
        <v>330</v>
      </c>
      <c r="H48" s="2" t="s">
        <v>0</v>
      </c>
      <c r="I48" s="2" t="s">
        <v>331</v>
      </c>
      <c r="J48" s="2" t="s">
        <v>332</v>
      </c>
      <c r="K48" s="2" t="s">
        <v>41</v>
      </c>
      <c r="L48" s="2" t="s">
        <v>42</v>
      </c>
      <c r="M48" s="2">
        <v>10</v>
      </c>
      <c r="N48" s="2">
        <v>18</v>
      </c>
      <c r="O48" s="2" t="s">
        <v>43</v>
      </c>
      <c r="P48" s="2" t="s">
        <v>44</v>
      </c>
      <c r="Q48" s="2">
        <v>6</v>
      </c>
      <c r="R48" s="2">
        <v>2</v>
      </c>
      <c r="S48" s="2">
        <v>4</v>
      </c>
      <c r="T48" s="2">
        <v>4</v>
      </c>
      <c r="U48" s="2">
        <v>0</v>
      </c>
      <c r="V48" s="2" t="s">
        <v>45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 t="s">
        <v>0</v>
      </c>
      <c r="AD48" s="2">
        <v>2</v>
      </c>
      <c r="AE48" s="2" t="s">
        <v>46</v>
      </c>
    </row>
    <row r="49" spans="1:31" ht="38.25" x14ac:dyDescent="0.2">
      <c r="A49" s="5" t="str">
        <f>HYPERLINK("http://www.patentics.cn/invokexml.do?sf=ShowPatent&amp;spn=CN202598699&amp;sv=f426579f64a27197b2b58c157960ca1f","CN202598699")</f>
        <v>CN202598699</v>
      </c>
      <c r="B49" s="3" t="s">
        <v>333</v>
      </c>
      <c r="C49" s="3" t="s">
        <v>334</v>
      </c>
      <c r="D49" s="3" t="s">
        <v>49</v>
      </c>
      <c r="E49" s="3" t="s">
        <v>50</v>
      </c>
      <c r="F49" s="3" t="s">
        <v>335</v>
      </c>
      <c r="G49" s="3" t="s">
        <v>336</v>
      </c>
      <c r="H49" s="3" t="s">
        <v>0</v>
      </c>
      <c r="I49" s="3" t="s">
        <v>337</v>
      </c>
      <c r="J49" s="3" t="s">
        <v>338</v>
      </c>
      <c r="K49" s="3" t="s">
        <v>41</v>
      </c>
      <c r="L49" s="3" t="s">
        <v>42</v>
      </c>
      <c r="M49" s="3">
        <v>13</v>
      </c>
      <c r="N49" s="3">
        <v>11</v>
      </c>
      <c r="O49" s="3" t="s">
        <v>55</v>
      </c>
      <c r="P49" s="3" t="s">
        <v>44</v>
      </c>
      <c r="Q49" s="3">
        <v>0</v>
      </c>
      <c r="R49" s="3">
        <v>0</v>
      </c>
      <c r="S49" s="3">
        <v>0</v>
      </c>
      <c r="T49" s="3">
        <v>0</v>
      </c>
      <c r="U49" s="3">
        <v>1</v>
      </c>
      <c r="V49" s="3" t="s">
        <v>339</v>
      </c>
      <c r="W49" s="3">
        <v>0</v>
      </c>
      <c r="X49" s="3">
        <v>1</v>
      </c>
      <c r="Y49" s="3">
        <v>1</v>
      </c>
      <c r="Z49" s="3">
        <v>1</v>
      </c>
      <c r="AA49" s="3">
        <v>0</v>
      </c>
      <c r="AB49" s="3">
        <v>0</v>
      </c>
      <c r="AC49" s="3">
        <v>12</v>
      </c>
      <c r="AD49" s="3" t="s">
        <v>0</v>
      </c>
      <c r="AE49" s="3" t="s">
        <v>46</v>
      </c>
    </row>
    <row r="50" spans="1:31" ht="25.5" x14ac:dyDescent="0.2">
      <c r="A50" s="5" t="str">
        <f>HYPERLINK("http://www.patentics.cn/invokexml.do?sf=ShowPatent&amp;spn=CN202598698&amp;sv=d61c42a210453774945d5bbc96dd01e0","CN202598698")</f>
        <v>CN202598698</v>
      </c>
      <c r="B50" s="3" t="s">
        <v>340</v>
      </c>
      <c r="C50" s="3" t="s">
        <v>334</v>
      </c>
      <c r="D50" s="3" t="s">
        <v>49</v>
      </c>
      <c r="E50" s="3" t="s">
        <v>50</v>
      </c>
      <c r="F50" s="3" t="s">
        <v>341</v>
      </c>
      <c r="G50" s="3" t="s">
        <v>336</v>
      </c>
      <c r="H50" s="3" t="s">
        <v>0</v>
      </c>
      <c r="I50" s="3" t="s">
        <v>337</v>
      </c>
      <c r="J50" s="3" t="s">
        <v>338</v>
      </c>
      <c r="K50" s="3" t="s">
        <v>41</v>
      </c>
      <c r="L50" s="3" t="s">
        <v>42</v>
      </c>
      <c r="M50" s="3">
        <v>15</v>
      </c>
      <c r="N50" s="3">
        <v>9</v>
      </c>
      <c r="O50" s="3" t="s">
        <v>55</v>
      </c>
      <c r="P50" s="3" t="s">
        <v>44</v>
      </c>
      <c r="Q50" s="3">
        <v>0</v>
      </c>
      <c r="R50" s="3">
        <v>0</v>
      </c>
      <c r="S50" s="3">
        <v>0</v>
      </c>
      <c r="T50" s="3">
        <v>0</v>
      </c>
      <c r="U50" s="3">
        <v>1</v>
      </c>
      <c r="V50" s="3" t="s">
        <v>339</v>
      </c>
      <c r="W50" s="3">
        <v>0</v>
      </c>
      <c r="X50" s="3">
        <v>1</v>
      </c>
      <c r="Y50" s="3">
        <v>1</v>
      </c>
      <c r="Z50" s="3">
        <v>1</v>
      </c>
      <c r="AA50" s="3">
        <v>0</v>
      </c>
      <c r="AB50" s="3">
        <v>0</v>
      </c>
      <c r="AC50" s="3">
        <v>12</v>
      </c>
      <c r="AD50" s="3" t="s">
        <v>0</v>
      </c>
      <c r="AE50" s="3" t="s">
        <v>57</v>
      </c>
    </row>
    <row r="51" spans="1:31" ht="25.5" x14ac:dyDescent="0.2">
      <c r="A51" s="4" t="str">
        <f>HYPERLINK("http://www.patentics.cn/invokexml.do?sf=ShowPatent&amp;spn=CN103913005B&amp;sv=13e905588b688c91f401a3f55a57f958","CN103913005B")</f>
        <v>CN103913005B</v>
      </c>
      <c r="B51" s="2" t="s">
        <v>342</v>
      </c>
      <c r="C51" s="2" t="s">
        <v>343</v>
      </c>
      <c r="D51" s="2" t="s">
        <v>79</v>
      </c>
      <c r="E51" s="2" t="s">
        <v>36</v>
      </c>
      <c r="F51" s="2" t="s">
        <v>344</v>
      </c>
      <c r="G51" s="2" t="s">
        <v>344</v>
      </c>
      <c r="H51" s="2" t="s">
        <v>0</v>
      </c>
      <c r="I51" s="2" t="s">
        <v>345</v>
      </c>
      <c r="J51" s="2" t="s">
        <v>346</v>
      </c>
      <c r="K51" s="2" t="s">
        <v>347</v>
      </c>
      <c r="L51" s="2" t="s">
        <v>348</v>
      </c>
      <c r="M51" s="2">
        <v>8</v>
      </c>
      <c r="N51" s="2">
        <v>18</v>
      </c>
      <c r="O51" s="2" t="s">
        <v>43</v>
      </c>
      <c r="P51" s="2" t="s">
        <v>44</v>
      </c>
      <c r="Q51" s="2">
        <v>7</v>
      </c>
      <c r="R51" s="2">
        <v>2</v>
      </c>
      <c r="S51" s="2">
        <v>5</v>
      </c>
      <c r="T51" s="2">
        <v>5</v>
      </c>
      <c r="U51" s="2">
        <v>0</v>
      </c>
      <c r="V51" s="2" t="s">
        <v>45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 t="s">
        <v>0</v>
      </c>
      <c r="AD51" s="2">
        <v>2</v>
      </c>
      <c r="AE51" s="2" t="s">
        <v>46</v>
      </c>
    </row>
    <row r="52" spans="1:31" ht="25.5" x14ac:dyDescent="0.2">
      <c r="A52" s="5" t="str">
        <f>HYPERLINK("http://www.patentics.cn/invokexml.do?sf=ShowPatent&amp;spn=CN102589217&amp;sv=033695fd2fdae87aa3be2161826949bd","CN102589217")</f>
        <v>CN102589217</v>
      </c>
      <c r="B52" s="3" t="s">
        <v>349</v>
      </c>
      <c r="C52" s="3" t="s">
        <v>350</v>
      </c>
      <c r="D52" s="3" t="s">
        <v>49</v>
      </c>
      <c r="E52" s="3" t="s">
        <v>50</v>
      </c>
      <c r="F52" s="3" t="s">
        <v>351</v>
      </c>
      <c r="G52" s="3" t="s">
        <v>351</v>
      </c>
      <c r="H52" s="3" t="s">
        <v>0</v>
      </c>
      <c r="I52" s="3" t="s">
        <v>352</v>
      </c>
      <c r="J52" s="3" t="s">
        <v>353</v>
      </c>
      <c r="K52" s="3" t="s">
        <v>347</v>
      </c>
      <c r="L52" s="3" t="s">
        <v>354</v>
      </c>
      <c r="M52" s="3">
        <v>10</v>
      </c>
      <c r="N52" s="3">
        <v>7</v>
      </c>
      <c r="O52" s="3" t="s">
        <v>75</v>
      </c>
      <c r="P52" s="3" t="s">
        <v>44</v>
      </c>
      <c r="Q52" s="3">
        <v>0</v>
      </c>
      <c r="R52" s="3">
        <v>0</v>
      </c>
      <c r="S52" s="3">
        <v>0</v>
      </c>
      <c r="T52" s="3">
        <v>0</v>
      </c>
      <c r="U52" s="3">
        <v>1</v>
      </c>
      <c r="V52" s="3" t="s">
        <v>177</v>
      </c>
      <c r="W52" s="3">
        <v>0</v>
      </c>
      <c r="X52" s="3">
        <v>1</v>
      </c>
      <c r="Y52" s="3">
        <v>1</v>
      </c>
      <c r="Z52" s="3">
        <v>1</v>
      </c>
      <c r="AA52" s="3">
        <v>0</v>
      </c>
      <c r="AB52" s="3">
        <v>0</v>
      </c>
      <c r="AC52" s="3">
        <v>12</v>
      </c>
      <c r="AD52" s="3" t="s">
        <v>0</v>
      </c>
      <c r="AE52" s="3" t="s">
        <v>46</v>
      </c>
    </row>
    <row r="53" spans="1:31" ht="25.5" x14ac:dyDescent="0.2">
      <c r="A53" s="5" t="str">
        <f>HYPERLINK("http://www.patentics.cn/invokexml.do?sf=ShowPatent&amp;spn=CN102042724&amp;sv=bf4847d3be00b11c8f3263743d34f2f6","CN102042724")</f>
        <v>CN102042724</v>
      </c>
      <c r="B53" s="3" t="s">
        <v>355</v>
      </c>
      <c r="C53" s="3" t="s">
        <v>356</v>
      </c>
      <c r="D53" s="3" t="s">
        <v>49</v>
      </c>
      <c r="E53" s="3" t="s">
        <v>50</v>
      </c>
      <c r="F53" s="3" t="s">
        <v>351</v>
      </c>
      <c r="G53" s="3" t="s">
        <v>351</v>
      </c>
      <c r="H53" s="3" t="s">
        <v>357</v>
      </c>
      <c r="I53" s="3" t="s">
        <v>357</v>
      </c>
      <c r="J53" s="3" t="s">
        <v>358</v>
      </c>
      <c r="K53" s="3" t="s">
        <v>347</v>
      </c>
      <c r="L53" s="3" t="s">
        <v>359</v>
      </c>
      <c r="M53" s="3">
        <v>11</v>
      </c>
      <c r="N53" s="3">
        <v>17</v>
      </c>
      <c r="O53" s="3" t="s">
        <v>75</v>
      </c>
      <c r="P53" s="3" t="s">
        <v>44</v>
      </c>
      <c r="Q53" s="3">
        <v>0</v>
      </c>
      <c r="R53" s="3">
        <v>0</v>
      </c>
      <c r="S53" s="3">
        <v>0</v>
      </c>
      <c r="T53" s="3">
        <v>0</v>
      </c>
      <c r="U53" s="3">
        <v>2</v>
      </c>
      <c r="V53" s="3" t="s">
        <v>56</v>
      </c>
      <c r="W53" s="3">
        <v>1</v>
      </c>
      <c r="X53" s="3">
        <v>1</v>
      </c>
      <c r="Y53" s="3">
        <v>2</v>
      </c>
      <c r="Z53" s="3">
        <v>1</v>
      </c>
      <c r="AA53" s="3">
        <v>1</v>
      </c>
      <c r="AB53" s="3">
        <v>1</v>
      </c>
      <c r="AC53" s="3">
        <v>12</v>
      </c>
      <c r="AD53" s="3" t="s">
        <v>0</v>
      </c>
      <c r="AE53" s="3" t="s">
        <v>46</v>
      </c>
    </row>
    <row r="54" spans="1:31" ht="25.5" x14ac:dyDescent="0.2">
      <c r="A54" s="4" t="str">
        <f>HYPERLINK("http://www.patentics.cn/invokexml.do?sf=ShowPatent&amp;spn=CN103994073B&amp;sv=111f1df9323fb68bf5d8e11f3706f980","CN103994073B")</f>
        <v>CN103994073B</v>
      </c>
      <c r="B54" s="2" t="s">
        <v>360</v>
      </c>
      <c r="C54" s="2" t="s">
        <v>361</v>
      </c>
      <c r="D54" s="2" t="s">
        <v>180</v>
      </c>
      <c r="E54" s="2" t="s">
        <v>36</v>
      </c>
      <c r="F54" s="2" t="s">
        <v>362</v>
      </c>
      <c r="G54" s="2" t="s">
        <v>363</v>
      </c>
      <c r="H54" s="2" t="s">
        <v>0</v>
      </c>
      <c r="I54" s="2" t="s">
        <v>364</v>
      </c>
      <c r="J54" s="2" t="s">
        <v>365</v>
      </c>
      <c r="K54" s="2" t="s">
        <v>185</v>
      </c>
      <c r="L54" s="2" t="s">
        <v>366</v>
      </c>
      <c r="M54" s="2">
        <v>9</v>
      </c>
      <c r="N54" s="2">
        <v>31</v>
      </c>
      <c r="O54" s="2" t="s">
        <v>43</v>
      </c>
      <c r="P54" s="2" t="s">
        <v>44</v>
      </c>
      <c r="Q54" s="2">
        <v>7</v>
      </c>
      <c r="R54" s="2">
        <v>4</v>
      </c>
      <c r="S54" s="2">
        <v>3</v>
      </c>
      <c r="T54" s="2">
        <v>3</v>
      </c>
      <c r="U54" s="2">
        <v>0</v>
      </c>
      <c r="V54" s="2" t="s">
        <v>45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 t="s">
        <v>0</v>
      </c>
      <c r="AD54" s="2">
        <v>2</v>
      </c>
      <c r="AE54" s="2" t="s">
        <v>46</v>
      </c>
    </row>
    <row r="55" spans="1:31" ht="38.25" x14ac:dyDescent="0.2">
      <c r="A55" s="5" t="str">
        <f>HYPERLINK("http://www.patentics.cn/invokexml.do?sf=ShowPatent&amp;spn=CN202991501&amp;sv=820cb11e73d8c10830b6be301dca7f34","CN202991501")</f>
        <v>CN202991501</v>
      </c>
      <c r="B55" s="3" t="s">
        <v>367</v>
      </c>
      <c r="C55" s="3" t="s">
        <v>368</v>
      </c>
      <c r="D55" s="3" t="s">
        <v>189</v>
      </c>
      <c r="E55" s="3" t="s">
        <v>190</v>
      </c>
      <c r="F55" s="3" t="s">
        <v>369</v>
      </c>
      <c r="G55" s="3" t="s">
        <v>370</v>
      </c>
      <c r="H55" s="3" t="s">
        <v>0</v>
      </c>
      <c r="I55" s="3" t="s">
        <v>371</v>
      </c>
      <c r="J55" s="3" t="s">
        <v>372</v>
      </c>
      <c r="K55" s="3" t="s">
        <v>185</v>
      </c>
      <c r="L55" s="3" t="s">
        <v>373</v>
      </c>
      <c r="M55" s="3">
        <v>6</v>
      </c>
      <c r="N55" s="3">
        <v>54</v>
      </c>
      <c r="O55" s="3" t="s">
        <v>55</v>
      </c>
      <c r="P55" s="3" t="s">
        <v>44</v>
      </c>
      <c r="Q55" s="3">
        <v>0</v>
      </c>
      <c r="R55" s="3">
        <v>0</v>
      </c>
      <c r="S55" s="3">
        <v>0</v>
      </c>
      <c r="T55" s="3">
        <v>0</v>
      </c>
      <c r="U55" s="3">
        <v>2</v>
      </c>
      <c r="V55" s="3" t="s">
        <v>374</v>
      </c>
      <c r="W55" s="3">
        <v>1</v>
      </c>
      <c r="X55" s="3">
        <v>1</v>
      </c>
      <c r="Y55" s="3">
        <v>2</v>
      </c>
      <c r="Z55" s="3">
        <v>1</v>
      </c>
      <c r="AA55" s="3">
        <v>0</v>
      </c>
      <c r="AB55" s="3">
        <v>0</v>
      </c>
      <c r="AC55" s="3">
        <v>12</v>
      </c>
      <c r="AD55" s="3" t="s">
        <v>0</v>
      </c>
      <c r="AE55" s="3" t="s">
        <v>57</v>
      </c>
    </row>
    <row r="56" spans="1:31" ht="25.5" x14ac:dyDescent="0.2">
      <c r="A56" s="5" t="str">
        <f>HYPERLINK("http://www.patentics.cn/invokexml.do?sf=ShowPatent&amp;spn=CN102966547&amp;sv=eb73d6aee8c4e06d36e224242145b1e2","CN102966547")</f>
        <v>CN102966547</v>
      </c>
      <c r="B56" s="3" t="s">
        <v>375</v>
      </c>
      <c r="C56" s="3" t="s">
        <v>376</v>
      </c>
      <c r="D56" s="3" t="s">
        <v>377</v>
      </c>
      <c r="E56" s="3" t="s">
        <v>50</v>
      </c>
      <c r="F56" s="3" t="s">
        <v>378</v>
      </c>
      <c r="G56" s="3" t="s">
        <v>378</v>
      </c>
      <c r="H56" s="3" t="s">
        <v>0</v>
      </c>
      <c r="I56" s="3" t="s">
        <v>379</v>
      </c>
      <c r="J56" s="3" t="s">
        <v>174</v>
      </c>
      <c r="K56" s="3" t="s">
        <v>185</v>
      </c>
      <c r="L56" s="3" t="s">
        <v>373</v>
      </c>
      <c r="M56" s="3">
        <v>10</v>
      </c>
      <c r="N56" s="3">
        <v>22</v>
      </c>
      <c r="O56" s="3" t="s">
        <v>75</v>
      </c>
      <c r="P56" s="3" t="s">
        <v>44</v>
      </c>
      <c r="Q56" s="3">
        <v>0</v>
      </c>
      <c r="R56" s="3">
        <v>0</v>
      </c>
      <c r="S56" s="3">
        <v>0</v>
      </c>
      <c r="T56" s="3">
        <v>0</v>
      </c>
      <c r="U56" s="3">
        <v>1</v>
      </c>
      <c r="V56" s="3" t="s">
        <v>177</v>
      </c>
      <c r="W56" s="3">
        <v>0</v>
      </c>
      <c r="X56" s="3">
        <v>1</v>
      </c>
      <c r="Y56" s="3">
        <v>1</v>
      </c>
      <c r="Z56" s="3">
        <v>1</v>
      </c>
      <c r="AA56" s="3">
        <v>0</v>
      </c>
      <c r="AB56" s="3">
        <v>0</v>
      </c>
      <c r="AC56" s="3">
        <v>12</v>
      </c>
      <c r="AD56" s="3" t="s">
        <v>0</v>
      </c>
      <c r="AE56" s="3" t="s">
        <v>46</v>
      </c>
    </row>
    <row r="57" spans="1:31" ht="25.5" x14ac:dyDescent="0.2">
      <c r="A57" s="4" t="str">
        <f>HYPERLINK("http://www.patentics.cn/invokexml.do?sf=ShowPatent&amp;spn=CN103512280B&amp;sv=62c267e9a969bc525c06af633dfcf929","CN103512280B")</f>
        <v>CN103512280B</v>
      </c>
      <c r="B57" s="2" t="s">
        <v>380</v>
      </c>
      <c r="C57" s="2" t="s">
        <v>381</v>
      </c>
      <c r="D57" s="2" t="s">
        <v>180</v>
      </c>
      <c r="E57" s="2" t="s">
        <v>36</v>
      </c>
      <c r="F57" s="2" t="s">
        <v>382</v>
      </c>
      <c r="G57" s="2" t="s">
        <v>382</v>
      </c>
      <c r="H57" s="2" t="s">
        <v>0</v>
      </c>
      <c r="I57" s="2" t="s">
        <v>383</v>
      </c>
      <c r="J57" s="2" t="s">
        <v>384</v>
      </c>
      <c r="K57" s="2" t="s">
        <v>347</v>
      </c>
      <c r="L57" s="2" t="s">
        <v>385</v>
      </c>
      <c r="M57" s="2">
        <v>11</v>
      </c>
      <c r="N57" s="2">
        <v>22</v>
      </c>
      <c r="O57" s="2" t="s">
        <v>43</v>
      </c>
      <c r="P57" s="2" t="s">
        <v>44</v>
      </c>
      <c r="Q57" s="2">
        <v>8</v>
      </c>
      <c r="R57" s="2">
        <v>0</v>
      </c>
      <c r="S57" s="2">
        <v>8</v>
      </c>
      <c r="T57" s="2">
        <v>5</v>
      </c>
      <c r="U57" s="2">
        <v>0</v>
      </c>
      <c r="V57" s="2" t="s">
        <v>45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 t="s">
        <v>0</v>
      </c>
      <c r="AD57" s="2">
        <v>2</v>
      </c>
      <c r="AE57" s="2" t="s">
        <v>46</v>
      </c>
    </row>
    <row r="58" spans="1:31" ht="63.75" x14ac:dyDescent="0.2">
      <c r="A58" s="5" t="str">
        <f>HYPERLINK("http://www.patentics.cn/invokexml.do?sf=ShowPatent&amp;spn=CN202692268&amp;sv=602093c54029b84b05a59694b4123cf2","CN202692268")</f>
        <v>CN202692268</v>
      </c>
      <c r="B58" s="3" t="s">
        <v>386</v>
      </c>
      <c r="C58" s="3" t="s">
        <v>387</v>
      </c>
      <c r="D58" s="3" t="s">
        <v>49</v>
      </c>
      <c r="E58" s="3" t="s">
        <v>50</v>
      </c>
      <c r="F58" s="3" t="s">
        <v>388</v>
      </c>
      <c r="G58" s="3" t="s">
        <v>389</v>
      </c>
      <c r="H58" s="3" t="s">
        <v>0</v>
      </c>
      <c r="I58" s="3" t="s">
        <v>390</v>
      </c>
      <c r="J58" s="3" t="s">
        <v>391</v>
      </c>
      <c r="K58" s="3" t="s">
        <v>41</v>
      </c>
      <c r="L58" s="3" t="s">
        <v>42</v>
      </c>
      <c r="M58" s="3">
        <v>11</v>
      </c>
      <c r="N58" s="3">
        <v>15</v>
      </c>
      <c r="O58" s="3" t="s">
        <v>55</v>
      </c>
      <c r="P58" s="3" t="s">
        <v>44</v>
      </c>
      <c r="Q58" s="3">
        <v>0</v>
      </c>
      <c r="R58" s="3">
        <v>0</v>
      </c>
      <c r="S58" s="3">
        <v>0</v>
      </c>
      <c r="T58" s="3">
        <v>0</v>
      </c>
      <c r="U58" s="3">
        <v>1</v>
      </c>
      <c r="V58" s="3" t="s">
        <v>113</v>
      </c>
      <c r="W58" s="3">
        <v>0</v>
      </c>
      <c r="X58" s="3">
        <v>1</v>
      </c>
      <c r="Y58" s="3">
        <v>1</v>
      </c>
      <c r="Z58" s="3">
        <v>1</v>
      </c>
      <c r="AA58" s="3">
        <v>0</v>
      </c>
      <c r="AB58" s="3">
        <v>0</v>
      </c>
      <c r="AC58" s="3">
        <v>12</v>
      </c>
      <c r="AD58" s="3" t="s">
        <v>0</v>
      </c>
      <c r="AE58" s="3" t="s">
        <v>46</v>
      </c>
    </row>
    <row r="59" spans="1:31" ht="25.5" x14ac:dyDescent="0.2">
      <c r="A59" s="5" t="str">
        <f>HYPERLINK("http://www.patentics.cn/invokexml.do?sf=ShowPatent&amp;spn=CN101813396&amp;sv=602de880b488a9276582bf2d827ecd2c","CN101813396")</f>
        <v>CN101813396</v>
      </c>
      <c r="B59" s="3" t="s">
        <v>392</v>
      </c>
      <c r="C59" s="3" t="s">
        <v>393</v>
      </c>
      <c r="D59" s="3" t="s">
        <v>49</v>
      </c>
      <c r="E59" s="3" t="s">
        <v>50</v>
      </c>
      <c r="F59" s="3" t="s">
        <v>394</v>
      </c>
      <c r="G59" s="3" t="s">
        <v>395</v>
      </c>
      <c r="H59" s="3" t="s">
        <v>396</v>
      </c>
      <c r="I59" s="3" t="s">
        <v>396</v>
      </c>
      <c r="J59" s="3" t="s">
        <v>397</v>
      </c>
      <c r="K59" s="3" t="s">
        <v>347</v>
      </c>
      <c r="L59" s="3" t="s">
        <v>348</v>
      </c>
      <c r="M59" s="3">
        <v>10</v>
      </c>
      <c r="N59" s="3">
        <v>24</v>
      </c>
      <c r="O59" s="3" t="s">
        <v>75</v>
      </c>
      <c r="P59" s="3" t="s">
        <v>44</v>
      </c>
      <c r="Q59" s="3">
        <v>0</v>
      </c>
      <c r="R59" s="3">
        <v>0</v>
      </c>
      <c r="S59" s="3">
        <v>0</v>
      </c>
      <c r="T59" s="3">
        <v>0</v>
      </c>
      <c r="U59" s="3">
        <v>3</v>
      </c>
      <c r="V59" s="3" t="s">
        <v>398</v>
      </c>
      <c r="W59" s="3">
        <v>1</v>
      </c>
      <c r="X59" s="3">
        <v>2</v>
      </c>
      <c r="Y59" s="3">
        <v>3</v>
      </c>
      <c r="Z59" s="3">
        <v>1</v>
      </c>
      <c r="AA59" s="3">
        <v>1</v>
      </c>
      <c r="AB59" s="3">
        <v>1</v>
      </c>
      <c r="AC59" s="3">
        <v>12</v>
      </c>
      <c r="AD59" s="3" t="s">
        <v>0</v>
      </c>
      <c r="AE59" s="3" t="s">
        <v>46</v>
      </c>
    </row>
    <row r="60" spans="1:31" ht="25.5" x14ac:dyDescent="0.2">
      <c r="A60" s="4" t="str">
        <f>HYPERLINK("http://www.patentics.cn/invokexml.do?sf=ShowPatent&amp;spn=CN103511227B&amp;sv=82ef3098a4012d1dd78cba0adda9046b","CN103511227B")</f>
        <v>CN103511227B</v>
      </c>
      <c r="B60" s="2" t="s">
        <v>399</v>
      </c>
      <c r="C60" s="2" t="s">
        <v>400</v>
      </c>
      <c r="D60" s="2" t="s">
        <v>180</v>
      </c>
      <c r="E60" s="2" t="s">
        <v>36</v>
      </c>
      <c r="F60" s="2" t="s">
        <v>401</v>
      </c>
      <c r="G60" s="2" t="s">
        <v>401</v>
      </c>
      <c r="H60" s="2" t="s">
        <v>0</v>
      </c>
      <c r="I60" s="2" t="s">
        <v>402</v>
      </c>
      <c r="J60" s="2" t="s">
        <v>153</v>
      </c>
      <c r="K60" s="2" t="s">
        <v>403</v>
      </c>
      <c r="L60" s="2" t="s">
        <v>404</v>
      </c>
      <c r="M60" s="2">
        <v>8</v>
      </c>
      <c r="N60" s="2">
        <v>26</v>
      </c>
      <c r="O60" s="2" t="s">
        <v>43</v>
      </c>
      <c r="P60" s="2" t="s">
        <v>44</v>
      </c>
      <c r="Q60" s="2">
        <v>6</v>
      </c>
      <c r="R60" s="2">
        <v>1</v>
      </c>
      <c r="S60" s="2">
        <v>5</v>
      </c>
      <c r="T60" s="2">
        <v>5</v>
      </c>
      <c r="U60" s="2">
        <v>0</v>
      </c>
      <c r="V60" s="2" t="s">
        <v>45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 t="s">
        <v>0</v>
      </c>
      <c r="AD60" s="2">
        <v>2</v>
      </c>
      <c r="AE60" s="2" t="s">
        <v>46</v>
      </c>
    </row>
    <row r="61" spans="1:31" ht="38.25" x14ac:dyDescent="0.2">
      <c r="A61" s="5" t="str">
        <f>HYPERLINK("http://www.patentics.cn/invokexml.do?sf=ShowPatent&amp;spn=CN102758774&amp;sv=5538dd5455fa7fd7be958b4a60f50988","CN102758774")</f>
        <v>CN102758774</v>
      </c>
      <c r="B61" s="3" t="s">
        <v>405</v>
      </c>
      <c r="C61" s="3" t="s">
        <v>368</v>
      </c>
      <c r="D61" s="3" t="s">
        <v>189</v>
      </c>
      <c r="E61" s="3" t="s">
        <v>190</v>
      </c>
      <c r="F61" s="3" t="s">
        <v>369</v>
      </c>
      <c r="G61" s="3" t="s">
        <v>370</v>
      </c>
      <c r="H61" s="3" t="s">
        <v>0</v>
      </c>
      <c r="I61" s="3" t="s">
        <v>371</v>
      </c>
      <c r="J61" s="3" t="s">
        <v>406</v>
      </c>
      <c r="K61" s="3" t="s">
        <v>185</v>
      </c>
      <c r="L61" s="3" t="s">
        <v>373</v>
      </c>
      <c r="M61" s="3">
        <v>6</v>
      </c>
      <c r="N61" s="3">
        <v>54</v>
      </c>
      <c r="O61" s="3" t="s">
        <v>75</v>
      </c>
      <c r="P61" s="3" t="s">
        <v>44</v>
      </c>
      <c r="Q61" s="3">
        <v>0</v>
      </c>
      <c r="R61" s="3">
        <v>0</v>
      </c>
      <c r="S61" s="3">
        <v>0</v>
      </c>
      <c r="T61" s="3">
        <v>0</v>
      </c>
      <c r="U61" s="3">
        <v>1</v>
      </c>
      <c r="V61" s="3" t="s">
        <v>339</v>
      </c>
      <c r="W61" s="3">
        <v>0</v>
      </c>
      <c r="X61" s="3">
        <v>1</v>
      </c>
      <c r="Y61" s="3">
        <v>1</v>
      </c>
      <c r="Z61" s="3">
        <v>1</v>
      </c>
      <c r="AA61" s="3">
        <v>0</v>
      </c>
      <c r="AB61" s="3">
        <v>0</v>
      </c>
      <c r="AC61" s="3">
        <v>12</v>
      </c>
      <c r="AD61" s="3" t="s">
        <v>0</v>
      </c>
      <c r="AE61" s="3" t="s">
        <v>46</v>
      </c>
    </row>
    <row r="62" spans="1:31" ht="38.25" x14ac:dyDescent="0.2">
      <c r="A62" s="5" t="str">
        <f>HYPERLINK("http://www.patentics.cn/invokexml.do?sf=ShowPatent&amp;spn=CN201786667&amp;sv=4d86b80ecdbdc4f4024cb9ee3f94401c","CN201786667")</f>
        <v>CN201786667</v>
      </c>
      <c r="B62" s="3" t="s">
        <v>407</v>
      </c>
      <c r="C62" s="3" t="s">
        <v>408</v>
      </c>
      <c r="D62" s="3" t="s">
        <v>189</v>
      </c>
      <c r="E62" s="3" t="s">
        <v>190</v>
      </c>
      <c r="F62" s="3" t="s">
        <v>409</v>
      </c>
      <c r="G62" s="3" t="s">
        <v>410</v>
      </c>
      <c r="H62" s="3" t="s">
        <v>0</v>
      </c>
      <c r="I62" s="3" t="s">
        <v>411</v>
      </c>
      <c r="J62" s="3" t="s">
        <v>412</v>
      </c>
      <c r="K62" s="3" t="s">
        <v>185</v>
      </c>
      <c r="L62" s="3" t="s">
        <v>373</v>
      </c>
      <c r="M62" s="3">
        <v>4</v>
      </c>
      <c r="N62" s="3">
        <v>15</v>
      </c>
      <c r="O62" s="3" t="s">
        <v>55</v>
      </c>
      <c r="P62" s="3" t="s">
        <v>44</v>
      </c>
      <c r="Q62" s="3">
        <v>0</v>
      </c>
      <c r="R62" s="3">
        <v>0</v>
      </c>
      <c r="S62" s="3">
        <v>0</v>
      </c>
      <c r="T62" s="3">
        <v>0</v>
      </c>
      <c r="U62" s="3">
        <v>1</v>
      </c>
      <c r="V62" s="3" t="s">
        <v>339</v>
      </c>
      <c r="W62" s="3">
        <v>0</v>
      </c>
      <c r="X62" s="3">
        <v>1</v>
      </c>
      <c r="Y62" s="3">
        <v>1</v>
      </c>
      <c r="Z62" s="3">
        <v>1</v>
      </c>
      <c r="AA62" s="3">
        <v>0</v>
      </c>
      <c r="AB62" s="3">
        <v>0</v>
      </c>
      <c r="AC62" s="3">
        <v>12</v>
      </c>
      <c r="AD62" s="3" t="s">
        <v>0</v>
      </c>
      <c r="AE62" s="3" t="s">
        <v>46</v>
      </c>
    </row>
    <row r="63" spans="1:31" ht="25.5" x14ac:dyDescent="0.2">
      <c r="A63" s="4" t="str">
        <f>HYPERLINK("http://www.patentics.cn/invokexml.do?sf=ShowPatent&amp;spn=CN103206773B&amp;sv=05e14b6c244bc471d41d2a09b75a60a2","CN103206773B")</f>
        <v>CN103206773B</v>
      </c>
      <c r="B63" s="2" t="s">
        <v>413</v>
      </c>
      <c r="C63" s="2" t="s">
        <v>414</v>
      </c>
      <c r="D63" s="2" t="s">
        <v>415</v>
      </c>
      <c r="E63" s="2" t="s">
        <v>36</v>
      </c>
      <c r="F63" s="2" t="s">
        <v>416</v>
      </c>
      <c r="G63" s="2" t="s">
        <v>416</v>
      </c>
      <c r="H63" s="2" t="s">
        <v>0</v>
      </c>
      <c r="I63" s="2" t="s">
        <v>120</v>
      </c>
      <c r="J63" s="2" t="s">
        <v>417</v>
      </c>
      <c r="K63" s="2" t="s">
        <v>41</v>
      </c>
      <c r="L63" s="2" t="s">
        <v>69</v>
      </c>
      <c r="M63" s="2">
        <v>14</v>
      </c>
      <c r="N63" s="2">
        <v>20</v>
      </c>
      <c r="O63" s="2" t="s">
        <v>43</v>
      </c>
      <c r="P63" s="2" t="s">
        <v>44</v>
      </c>
      <c r="Q63" s="2">
        <v>5</v>
      </c>
      <c r="R63" s="2">
        <v>3</v>
      </c>
      <c r="S63" s="2">
        <v>2</v>
      </c>
      <c r="T63" s="2">
        <v>2</v>
      </c>
      <c r="U63" s="2">
        <v>0</v>
      </c>
      <c r="V63" s="2" t="s">
        <v>45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 t="s">
        <v>0</v>
      </c>
      <c r="AD63" s="2">
        <v>2</v>
      </c>
      <c r="AE63" s="2" t="s">
        <v>46</v>
      </c>
    </row>
    <row r="64" spans="1:31" ht="51" x14ac:dyDescent="0.2">
      <c r="A64" s="5" t="str">
        <f>HYPERLINK("http://www.patentics.cn/invokexml.do?sf=ShowPatent&amp;spn=CN2819086&amp;sv=801aaf9b97b1f8543c3115b2021c10d0","CN2819086")</f>
        <v>CN2819086</v>
      </c>
      <c r="B64" s="3" t="s">
        <v>418</v>
      </c>
      <c r="C64" s="3" t="s">
        <v>419</v>
      </c>
      <c r="D64" s="3" t="s">
        <v>49</v>
      </c>
      <c r="E64" s="3" t="s">
        <v>50</v>
      </c>
      <c r="F64" s="3" t="s">
        <v>420</v>
      </c>
      <c r="G64" s="3" t="s">
        <v>264</v>
      </c>
      <c r="H64" s="3" t="s">
        <v>0</v>
      </c>
      <c r="I64" s="3" t="s">
        <v>421</v>
      </c>
      <c r="J64" s="3" t="s">
        <v>422</v>
      </c>
      <c r="K64" s="3" t="s">
        <v>41</v>
      </c>
      <c r="L64" s="3" t="s">
        <v>42</v>
      </c>
      <c r="M64" s="3">
        <v>10</v>
      </c>
      <c r="N64" s="3">
        <v>23</v>
      </c>
      <c r="O64" s="3" t="s">
        <v>55</v>
      </c>
      <c r="P64" s="3" t="s">
        <v>44</v>
      </c>
      <c r="Q64" s="3">
        <v>1</v>
      </c>
      <c r="R64" s="3">
        <v>0</v>
      </c>
      <c r="S64" s="3">
        <v>1</v>
      </c>
      <c r="T64" s="3">
        <v>1</v>
      </c>
      <c r="U64" s="3">
        <v>3</v>
      </c>
      <c r="V64" s="3" t="s">
        <v>423</v>
      </c>
      <c r="W64" s="3">
        <v>0</v>
      </c>
      <c r="X64" s="3">
        <v>3</v>
      </c>
      <c r="Y64" s="3">
        <v>3</v>
      </c>
      <c r="Z64" s="3">
        <v>1</v>
      </c>
      <c r="AA64" s="3">
        <v>0</v>
      </c>
      <c r="AB64" s="3">
        <v>0</v>
      </c>
      <c r="AC64" s="3">
        <v>12</v>
      </c>
      <c r="AD64" s="3" t="s">
        <v>0</v>
      </c>
      <c r="AE64" s="3" t="s">
        <v>57</v>
      </c>
    </row>
    <row r="65" spans="1:31" ht="25.5" x14ac:dyDescent="0.2">
      <c r="A65" s="5" t="str">
        <f>HYPERLINK("http://www.patentics.cn/invokexml.do?sf=ShowPatent&amp;spn=CN2901119&amp;sv=1c503251e1e54d89e6557c5b0db99768","CN2901119")</f>
        <v>CN2901119</v>
      </c>
      <c r="B65" s="3" t="s">
        <v>424</v>
      </c>
      <c r="C65" s="3" t="s">
        <v>258</v>
      </c>
      <c r="D65" s="3" t="s">
        <v>49</v>
      </c>
      <c r="E65" s="3" t="s">
        <v>50</v>
      </c>
      <c r="F65" s="3" t="s">
        <v>425</v>
      </c>
      <c r="G65" s="3" t="s">
        <v>264</v>
      </c>
      <c r="H65" s="3" t="s">
        <v>0</v>
      </c>
      <c r="I65" s="3" t="s">
        <v>426</v>
      </c>
      <c r="J65" s="3" t="s">
        <v>427</v>
      </c>
      <c r="K65" s="3" t="s">
        <v>41</v>
      </c>
      <c r="L65" s="3" t="s">
        <v>428</v>
      </c>
      <c r="M65" s="3">
        <v>9</v>
      </c>
      <c r="N65" s="3">
        <v>33</v>
      </c>
      <c r="O65" s="3" t="s">
        <v>55</v>
      </c>
      <c r="P65" s="3" t="s">
        <v>44</v>
      </c>
      <c r="Q65" s="3">
        <v>1</v>
      </c>
      <c r="R65" s="3">
        <v>0</v>
      </c>
      <c r="S65" s="3">
        <v>1</v>
      </c>
      <c r="T65" s="3">
        <v>1</v>
      </c>
      <c r="U65" s="3">
        <v>11</v>
      </c>
      <c r="V65" s="3" t="s">
        <v>429</v>
      </c>
      <c r="W65" s="3">
        <v>10</v>
      </c>
      <c r="X65" s="3">
        <v>1</v>
      </c>
      <c r="Y65" s="3">
        <v>2</v>
      </c>
      <c r="Z65" s="3">
        <v>2</v>
      </c>
      <c r="AA65" s="3">
        <v>0</v>
      </c>
      <c r="AB65" s="3">
        <v>0</v>
      </c>
      <c r="AC65" s="3">
        <v>12</v>
      </c>
      <c r="AD65" s="3" t="s">
        <v>0</v>
      </c>
      <c r="AE65" s="3" t="s">
        <v>57</v>
      </c>
    </row>
    <row r="66" spans="1:31" ht="25.5" x14ac:dyDescent="0.2">
      <c r="A66" s="4" t="str">
        <f>HYPERLINK("http://www.patentics.cn/invokexml.do?sf=ShowPatent&amp;spn=CN103363587B&amp;sv=38cea5aa57e707f5901b1d36e555f3bc","CN103363587B")</f>
        <v>CN103363587B</v>
      </c>
      <c r="B66" s="2" t="s">
        <v>430</v>
      </c>
      <c r="C66" s="2" t="s">
        <v>431</v>
      </c>
      <c r="D66" s="2" t="s">
        <v>79</v>
      </c>
      <c r="E66" s="2" t="s">
        <v>36</v>
      </c>
      <c r="F66" s="2" t="s">
        <v>432</v>
      </c>
      <c r="G66" s="2" t="s">
        <v>433</v>
      </c>
      <c r="H66" s="2" t="s">
        <v>434</v>
      </c>
      <c r="I66" s="2" t="s">
        <v>434</v>
      </c>
      <c r="J66" s="2" t="s">
        <v>435</v>
      </c>
      <c r="K66" s="2" t="s">
        <v>41</v>
      </c>
      <c r="L66" s="2" t="s">
        <v>42</v>
      </c>
      <c r="M66" s="2">
        <v>10</v>
      </c>
      <c r="N66" s="2">
        <v>11</v>
      </c>
      <c r="O66" s="2" t="s">
        <v>43</v>
      </c>
      <c r="P66" s="2" t="s">
        <v>44</v>
      </c>
      <c r="Q66" s="2">
        <v>3</v>
      </c>
      <c r="R66" s="2">
        <v>1</v>
      </c>
      <c r="S66" s="2">
        <v>2</v>
      </c>
      <c r="T66" s="2">
        <v>2</v>
      </c>
      <c r="U66" s="2">
        <v>0</v>
      </c>
      <c r="V66" s="2" t="s">
        <v>45</v>
      </c>
      <c r="W66" s="2">
        <v>0</v>
      </c>
      <c r="X66" s="2">
        <v>0</v>
      </c>
      <c r="Y66" s="2">
        <v>0</v>
      </c>
      <c r="Z66" s="2">
        <v>0</v>
      </c>
      <c r="AA66" s="2">
        <v>11</v>
      </c>
      <c r="AB66" s="2">
        <v>5</v>
      </c>
      <c r="AC66" s="2" t="s">
        <v>0</v>
      </c>
      <c r="AD66" s="2">
        <v>2</v>
      </c>
      <c r="AE66" s="2" t="s">
        <v>46</v>
      </c>
    </row>
    <row r="67" spans="1:31" ht="76.5" x14ac:dyDescent="0.2">
      <c r="A67" s="5" t="str">
        <f>HYPERLINK("http://www.patentics.cn/invokexml.do?sf=ShowPatent&amp;spn=CN102200322&amp;sv=197c1e828c05f3e80c160b937d28b749","CN102200322")</f>
        <v>CN102200322</v>
      </c>
      <c r="B67" s="3" t="s">
        <v>70</v>
      </c>
      <c r="C67" s="3" t="s">
        <v>48</v>
      </c>
      <c r="D67" s="3" t="s">
        <v>49</v>
      </c>
      <c r="E67" s="3" t="s">
        <v>50</v>
      </c>
      <c r="F67" s="3" t="s">
        <v>71</v>
      </c>
      <c r="G67" s="3" t="s">
        <v>52</v>
      </c>
      <c r="H67" s="3" t="s">
        <v>72</v>
      </c>
      <c r="I67" s="3" t="s">
        <v>73</v>
      </c>
      <c r="J67" s="3" t="s">
        <v>74</v>
      </c>
      <c r="K67" s="3" t="s">
        <v>41</v>
      </c>
      <c r="L67" s="3" t="s">
        <v>42</v>
      </c>
      <c r="M67" s="3">
        <v>17</v>
      </c>
      <c r="N67" s="3">
        <v>15</v>
      </c>
      <c r="O67" s="3" t="s">
        <v>75</v>
      </c>
      <c r="P67" s="3" t="s">
        <v>44</v>
      </c>
      <c r="Q67" s="3">
        <v>0</v>
      </c>
      <c r="R67" s="3">
        <v>0</v>
      </c>
      <c r="S67" s="3">
        <v>0</v>
      </c>
      <c r="T67" s="3">
        <v>0</v>
      </c>
      <c r="U67" s="3">
        <v>6</v>
      </c>
      <c r="V67" s="3" t="s">
        <v>76</v>
      </c>
      <c r="W67" s="3">
        <v>3</v>
      </c>
      <c r="X67" s="3">
        <v>3</v>
      </c>
      <c r="Y67" s="3">
        <v>3</v>
      </c>
      <c r="Z67" s="3">
        <v>1</v>
      </c>
      <c r="AA67" s="3">
        <v>1</v>
      </c>
      <c r="AB67" s="3">
        <v>1</v>
      </c>
      <c r="AC67" s="3">
        <v>12</v>
      </c>
      <c r="AD67" s="3" t="s">
        <v>0</v>
      </c>
      <c r="AE67" s="3" t="s">
        <v>46</v>
      </c>
    </row>
    <row r="68" spans="1:31" ht="51" x14ac:dyDescent="0.2">
      <c r="A68" s="5" t="str">
        <f>HYPERLINK("http://www.patentics.cn/invokexml.do?sf=ShowPatent&amp;spn=CN2605507&amp;sv=6d61ec7d51e60658425268f7faa82353","CN2605507")</f>
        <v>CN2605507</v>
      </c>
      <c r="B68" s="3" t="s">
        <v>436</v>
      </c>
      <c r="C68" s="3" t="s">
        <v>437</v>
      </c>
      <c r="D68" s="3" t="s">
        <v>49</v>
      </c>
      <c r="E68" s="3" t="s">
        <v>50</v>
      </c>
      <c r="F68" s="3" t="s">
        <v>438</v>
      </c>
      <c r="G68" s="3" t="s">
        <v>52</v>
      </c>
      <c r="H68" s="3" t="s">
        <v>0</v>
      </c>
      <c r="I68" s="3" t="s">
        <v>439</v>
      </c>
      <c r="J68" s="3" t="s">
        <v>440</v>
      </c>
      <c r="K68" s="3" t="s">
        <v>41</v>
      </c>
      <c r="L68" s="3" t="s">
        <v>441</v>
      </c>
      <c r="M68" s="3">
        <v>14</v>
      </c>
      <c r="N68" s="3">
        <v>18</v>
      </c>
      <c r="O68" s="3" t="s">
        <v>55</v>
      </c>
      <c r="P68" s="3" t="s">
        <v>44</v>
      </c>
      <c r="Q68" s="3">
        <v>0</v>
      </c>
      <c r="R68" s="3">
        <v>0</v>
      </c>
      <c r="S68" s="3">
        <v>0</v>
      </c>
      <c r="T68" s="3">
        <v>0</v>
      </c>
      <c r="U68" s="3">
        <v>1</v>
      </c>
      <c r="V68" s="3" t="s">
        <v>256</v>
      </c>
      <c r="W68" s="3">
        <v>0</v>
      </c>
      <c r="X68" s="3">
        <v>1</v>
      </c>
      <c r="Y68" s="3">
        <v>1</v>
      </c>
      <c r="Z68" s="3">
        <v>1</v>
      </c>
      <c r="AA68" s="3">
        <v>0</v>
      </c>
      <c r="AB68" s="3">
        <v>0</v>
      </c>
      <c r="AC68" s="3">
        <v>12</v>
      </c>
      <c r="AD68" s="3" t="s">
        <v>0</v>
      </c>
      <c r="AE68" s="3" t="s">
        <v>57</v>
      </c>
    </row>
    <row r="69" spans="1:31" ht="76.5" x14ac:dyDescent="0.2">
      <c r="A69" s="4" t="str">
        <f>HYPERLINK("http://www.patentics.cn/invokexml.do?sf=ShowPatent&amp;spn=CN103062879B&amp;sv=3796a5065159987563ec268f710b7644","CN103062879B")</f>
        <v>CN103062879B</v>
      </c>
      <c r="B69" s="2" t="s">
        <v>442</v>
      </c>
      <c r="C69" s="2" t="s">
        <v>443</v>
      </c>
      <c r="D69" s="2" t="s">
        <v>79</v>
      </c>
      <c r="E69" s="2" t="s">
        <v>36</v>
      </c>
      <c r="F69" s="2" t="s">
        <v>444</v>
      </c>
      <c r="G69" s="2" t="s">
        <v>445</v>
      </c>
      <c r="H69" s="2" t="s">
        <v>0</v>
      </c>
      <c r="I69" s="2" t="s">
        <v>446</v>
      </c>
      <c r="J69" s="2" t="s">
        <v>447</v>
      </c>
      <c r="K69" s="2" t="s">
        <v>41</v>
      </c>
      <c r="L69" s="2" t="s">
        <v>69</v>
      </c>
      <c r="M69" s="2">
        <v>6</v>
      </c>
      <c r="N69" s="2">
        <v>24</v>
      </c>
      <c r="O69" s="2" t="s">
        <v>43</v>
      </c>
      <c r="P69" s="2" t="s">
        <v>44</v>
      </c>
      <c r="Q69" s="2">
        <v>4</v>
      </c>
      <c r="R69" s="2">
        <v>1</v>
      </c>
      <c r="S69" s="2">
        <v>3</v>
      </c>
      <c r="T69" s="2">
        <v>3</v>
      </c>
      <c r="U69" s="2">
        <v>0</v>
      </c>
      <c r="V69" s="2" t="s">
        <v>45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 t="s">
        <v>0</v>
      </c>
      <c r="AD69" s="2">
        <v>2</v>
      </c>
      <c r="AE69" s="2" t="s">
        <v>46</v>
      </c>
    </row>
    <row r="70" spans="1:31" ht="63.75" x14ac:dyDescent="0.2">
      <c r="A70" s="5" t="str">
        <f>HYPERLINK("http://www.patentics.cn/invokexml.do?sf=ShowPatent&amp;spn=CN201448973&amp;sv=b2374f7dea14bf79e2358e0ff61622d6","CN201448973")</f>
        <v>CN201448973</v>
      </c>
      <c r="B70" s="3" t="s">
        <v>448</v>
      </c>
      <c r="C70" s="3" t="s">
        <v>449</v>
      </c>
      <c r="D70" s="3" t="s">
        <v>49</v>
      </c>
      <c r="E70" s="3" t="s">
        <v>50</v>
      </c>
      <c r="F70" s="3" t="s">
        <v>450</v>
      </c>
      <c r="G70" s="3" t="s">
        <v>52</v>
      </c>
      <c r="H70" s="3" t="s">
        <v>0</v>
      </c>
      <c r="I70" s="3" t="s">
        <v>451</v>
      </c>
      <c r="J70" s="3" t="s">
        <v>452</v>
      </c>
      <c r="K70" s="3" t="s">
        <v>41</v>
      </c>
      <c r="L70" s="3" t="s">
        <v>453</v>
      </c>
      <c r="M70" s="3">
        <v>10</v>
      </c>
      <c r="N70" s="3">
        <v>15</v>
      </c>
      <c r="O70" s="3" t="s">
        <v>55</v>
      </c>
      <c r="P70" s="3" t="s">
        <v>44</v>
      </c>
      <c r="Q70" s="3">
        <v>0</v>
      </c>
      <c r="R70" s="3">
        <v>0</v>
      </c>
      <c r="S70" s="3">
        <v>0</v>
      </c>
      <c r="T70" s="3">
        <v>0</v>
      </c>
      <c r="U70" s="3">
        <v>1</v>
      </c>
      <c r="V70" s="3" t="s">
        <v>284</v>
      </c>
      <c r="W70" s="3">
        <v>0</v>
      </c>
      <c r="X70" s="3">
        <v>1</v>
      </c>
      <c r="Y70" s="3">
        <v>1</v>
      </c>
      <c r="Z70" s="3">
        <v>1</v>
      </c>
      <c r="AA70" s="3">
        <v>0</v>
      </c>
      <c r="AB70" s="3">
        <v>0</v>
      </c>
      <c r="AC70" s="3">
        <v>12</v>
      </c>
      <c r="AD70" s="3" t="s">
        <v>0</v>
      </c>
      <c r="AE70" s="3" t="s">
        <v>46</v>
      </c>
    </row>
    <row r="71" spans="1:31" ht="25.5" x14ac:dyDescent="0.2">
      <c r="A71" s="5" t="str">
        <f>HYPERLINK("http://www.patentics.cn/invokexml.do?sf=ShowPatent&amp;spn=CN200943910&amp;sv=441cfbd297c107f94655bc2196e6a02d","CN200943910")</f>
        <v>CN200943910</v>
      </c>
      <c r="B71" s="3" t="s">
        <v>454</v>
      </c>
      <c r="C71" s="3" t="s">
        <v>455</v>
      </c>
      <c r="D71" s="3" t="s">
        <v>49</v>
      </c>
      <c r="E71" s="3" t="s">
        <v>50</v>
      </c>
      <c r="F71" s="3" t="s">
        <v>456</v>
      </c>
      <c r="G71" s="3" t="s">
        <v>457</v>
      </c>
      <c r="H71" s="3" t="s">
        <v>0</v>
      </c>
      <c r="I71" s="3" t="s">
        <v>458</v>
      </c>
      <c r="J71" s="3" t="s">
        <v>459</v>
      </c>
      <c r="K71" s="3" t="s">
        <v>41</v>
      </c>
      <c r="L71" s="3" t="s">
        <v>42</v>
      </c>
      <c r="M71" s="3">
        <v>9</v>
      </c>
      <c r="N71" s="3">
        <v>20</v>
      </c>
      <c r="O71" s="3" t="s">
        <v>55</v>
      </c>
      <c r="P71" s="3" t="s">
        <v>44</v>
      </c>
      <c r="Q71" s="3">
        <v>1</v>
      </c>
      <c r="R71" s="3">
        <v>0</v>
      </c>
      <c r="S71" s="3">
        <v>1</v>
      </c>
      <c r="T71" s="3">
        <v>1</v>
      </c>
      <c r="U71" s="3">
        <v>2</v>
      </c>
      <c r="V71" s="3" t="s">
        <v>460</v>
      </c>
      <c r="W71" s="3">
        <v>0</v>
      </c>
      <c r="X71" s="3">
        <v>2</v>
      </c>
      <c r="Y71" s="3">
        <v>1</v>
      </c>
      <c r="Z71" s="3">
        <v>1</v>
      </c>
      <c r="AA71" s="3">
        <v>0</v>
      </c>
      <c r="AB71" s="3">
        <v>0</v>
      </c>
      <c r="AC71" s="3">
        <v>12</v>
      </c>
      <c r="AD71" s="3" t="s">
        <v>0</v>
      </c>
      <c r="AE71" s="3" t="s">
        <v>57</v>
      </c>
    </row>
    <row r="72" spans="1:31" ht="76.5" x14ac:dyDescent="0.2">
      <c r="A72" s="4" t="str">
        <f>HYPERLINK("http://www.patentics.cn/invokexml.do?sf=ShowPatent&amp;spn=CN103062880B&amp;sv=8d2651cc6498452833071bf624f07b42","CN103062880B")</f>
        <v>CN103062880B</v>
      </c>
      <c r="B72" s="2" t="s">
        <v>461</v>
      </c>
      <c r="C72" s="2" t="s">
        <v>462</v>
      </c>
      <c r="D72" s="2" t="s">
        <v>79</v>
      </c>
      <c r="E72" s="2" t="s">
        <v>36</v>
      </c>
      <c r="F72" s="2" t="s">
        <v>463</v>
      </c>
      <c r="G72" s="2" t="s">
        <v>464</v>
      </c>
      <c r="H72" s="2" t="s">
        <v>0</v>
      </c>
      <c r="I72" s="2" t="s">
        <v>446</v>
      </c>
      <c r="J72" s="2" t="s">
        <v>447</v>
      </c>
      <c r="K72" s="2" t="s">
        <v>41</v>
      </c>
      <c r="L72" s="2" t="s">
        <v>453</v>
      </c>
      <c r="M72" s="2">
        <v>7</v>
      </c>
      <c r="N72" s="2">
        <v>26</v>
      </c>
      <c r="O72" s="2" t="s">
        <v>43</v>
      </c>
      <c r="P72" s="2" t="s">
        <v>44</v>
      </c>
      <c r="Q72" s="2">
        <v>6</v>
      </c>
      <c r="R72" s="2">
        <v>2</v>
      </c>
      <c r="S72" s="2">
        <v>4</v>
      </c>
      <c r="T72" s="2">
        <v>4</v>
      </c>
      <c r="U72" s="2">
        <v>0</v>
      </c>
      <c r="V72" s="2" t="s">
        <v>45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 t="s">
        <v>0</v>
      </c>
      <c r="AD72" s="2">
        <v>2</v>
      </c>
      <c r="AE72" s="2" t="s">
        <v>46</v>
      </c>
    </row>
    <row r="73" spans="1:31" ht="51" x14ac:dyDescent="0.2">
      <c r="A73" s="5" t="str">
        <f>HYPERLINK("http://www.patentics.cn/invokexml.do?sf=ShowPatent&amp;spn=CN102620354&amp;sv=5019d8e64342bacaeaf4d142e99dc3c8","CN102620354")</f>
        <v>CN102620354</v>
      </c>
      <c r="B73" s="3" t="s">
        <v>465</v>
      </c>
      <c r="C73" s="3" t="s">
        <v>462</v>
      </c>
      <c r="D73" s="3" t="s">
        <v>49</v>
      </c>
      <c r="E73" s="3" t="s">
        <v>50</v>
      </c>
      <c r="F73" s="3" t="s">
        <v>466</v>
      </c>
      <c r="G73" s="3" t="s">
        <v>467</v>
      </c>
      <c r="H73" s="3" t="s">
        <v>0</v>
      </c>
      <c r="I73" s="3" t="s">
        <v>468</v>
      </c>
      <c r="J73" s="3" t="s">
        <v>469</v>
      </c>
      <c r="K73" s="3" t="s">
        <v>41</v>
      </c>
      <c r="L73" s="3" t="s">
        <v>428</v>
      </c>
      <c r="M73" s="3">
        <v>10</v>
      </c>
      <c r="N73" s="3">
        <v>12</v>
      </c>
      <c r="O73" s="3" t="s">
        <v>75</v>
      </c>
      <c r="P73" s="3" t="s">
        <v>44</v>
      </c>
      <c r="Q73" s="3">
        <v>1</v>
      </c>
      <c r="R73" s="3">
        <v>0</v>
      </c>
      <c r="S73" s="3">
        <v>1</v>
      </c>
      <c r="T73" s="3">
        <v>1</v>
      </c>
      <c r="U73" s="3">
        <v>1</v>
      </c>
      <c r="V73" s="3" t="s">
        <v>339</v>
      </c>
      <c r="W73" s="3">
        <v>0</v>
      </c>
      <c r="X73" s="3">
        <v>1</v>
      </c>
      <c r="Y73" s="3">
        <v>1</v>
      </c>
      <c r="Z73" s="3">
        <v>1</v>
      </c>
      <c r="AA73" s="3">
        <v>0</v>
      </c>
      <c r="AB73" s="3">
        <v>0</v>
      </c>
      <c r="AC73" s="3">
        <v>12</v>
      </c>
      <c r="AD73" s="3" t="s">
        <v>0</v>
      </c>
      <c r="AE73" s="3" t="s">
        <v>100</v>
      </c>
    </row>
    <row r="74" spans="1:31" ht="25.5" x14ac:dyDescent="0.2">
      <c r="A74" s="5" t="str">
        <f>HYPERLINK("http://www.patentics.cn/invokexml.do?sf=ShowPatent&amp;spn=CN200943910&amp;sv=441cfbd297c107f94655bc2196e6a02d","CN200943910")</f>
        <v>CN200943910</v>
      </c>
      <c r="B74" s="3" t="s">
        <v>454</v>
      </c>
      <c r="C74" s="3" t="s">
        <v>455</v>
      </c>
      <c r="D74" s="3" t="s">
        <v>49</v>
      </c>
      <c r="E74" s="3" t="s">
        <v>50</v>
      </c>
      <c r="F74" s="3" t="s">
        <v>456</v>
      </c>
      <c r="G74" s="3" t="s">
        <v>457</v>
      </c>
      <c r="H74" s="3" t="s">
        <v>0</v>
      </c>
      <c r="I74" s="3" t="s">
        <v>458</v>
      </c>
      <c r="J74" s="3" t="s">
        <v>459</v>
      </c>
      <c r="K74" s="3" t="s">
        <v>41</v>
      </c>
      <c r="L74" s="3" t="s">
        <v>42</v>
      </c>
      <c r="M74" s="3">
        <v>9</v>
      </c>
      <c r="N74" s="3">
        <v>20</v>
      </c>
      <c r="O74" s="3" t="s">
        <v>55</v>
      </c>
      <c r="P74" s="3" t="s">
        <v>44</v>
      </c>
      <c r="Q74" s="3">
        <v>1</v>
      </c>
      <c r="R74" s="3">
        <v>0</v>
      </c>
      <c r="S74" s="3">
        <v>1</v>
      </c>
      <c r="T74" s="3">
        <v>1</v>
      </c>
      <c r="U74" s="3">
        <v>2</v>
      </c>
      <c r="V74" s="3" t="s">
        <v>460</v>
      </c>
      <c r="W74" s="3">
        <v>0</v>
      </c>
      <c r="X74" s="3">
        <v>2</v>
      </c>
      <c r="Y74" s="3">
        <v>1</v>
      </c>
      <c r="Z74" s="3">
        <v>1</v>
      </c>
      <c r="AA74" s="3">
        <v>0</v>
      </c>
      <c r="AB74" s="3">
        <v>0</v>
      </c>
      <c r="AC74" s="3">
        <v>12</v>
      </c>
      <c r="AD74" s="3" t="s">
        <v>0</v>
      </c>
      <c r="AE74" s="3" t="s">
        <v>57</v>
      </c>
    </row>
    <row r="75" spans="1:31" ht="38.25" x14ac:dyDescent="0.2">
      <c r="A75" s="4" t="str">
        <f>HYPERLINK("http://www.patentics.cn/invokexml.do?sf=ShowPatent&amp;spn=CN102759147B&amp;sv=cf7d974d45f441e6e07f3d40642d7907","CN102759147B")</f>
        <v>CN102759147B</v>
      </c>
      <c r="B75" s="2" t="s">
        <v>470</v>
      </c>
      <c r="C75" s="2" t="s">
        <v>471</v>
      </c>
      <c r="D75" s="2" t="s">
        <v>79</v>
      </c>
      <c r="E75" s="2" t="s">
        <v>36</v>
      </c>
      <c r="F75" s="2" t="s">
        <v>472</v>
      </c>
      <c r="G75" s="2" t="s">
        <v>473</v>
      </c>
      <c r="H75" s="2" t="s">
        <v>474</v>
      </c>
      <c r="I75" s="2" t="s">
        <v>474</v>
      </c>
      <c r="J75" s="2" t="s">
        <v>475</v>
      </c>
      <c r="K75" s="2" t="s">
        <v>41</v>
      </c>
      <c r="L75" s="2" t="s">
        <v>42</v>
      </c>
      <c r="M75" s="2">
        <v>4</v>
      </c>
      <c r="N75" s="2">
        <v>25</v>
      </c>
      <c r="O75" s="2" t="s">
        <v>43</v>
      </c>
      <c r="P75" s="2" t="s">
        <v>44</v>
      </c>
      <c r="Q75" s="2">
        <v>9</v>
      </c>
      <c r="R75" s="2">
        <v>3</v>
      </c>
      <c r="S75" s="2">
        <v>6</v>
      </c>
      <c r="T75" s="2">
        <v>5</v>
      </c>
      <c r="U75" s="2">
        <v>0</v>
      </c>
      <c r="V75" s="2" t="s">
        <v>45</v>
      </c>
      <c r="W75" s="2">
        <v>0</v>
      </c>
      <c r="X75" s="2">
        <v>0</v>
      </c>
      <c r="Y75" s="2">
        <v>0</v>
      </c>
      <c r="Z75" s="2">
        <v>0</v>
      </c>
      <c r="AA75" s="2">
        <v>1</v>
      </c>
      <c r="AB75" s="2">
        <v>1</v>
      </c>
      <c r="AC75" s="2" t="s">
        <v>0</v>
      </c>
      <c r="AD75" s="2">
        <v>2</v>
      </c>
      <c r="AE75" s="2" t="s">
        <v>46</v>
      </c>
    </row>
    <row r="76" spans="1:31" ht="38.25" x14ac:dyDescent="0.2">
      <c r="A76" s="5" t="str">
        <f>HYPERLINK("http://www.patentics.cn/invokexml.do?sf=ShowPatent&amp;spn=CN201007581&amp;sv=a35bea77aad0b982cb74f5acd7f161e5","CN201007581")</f>
        <v>CN201007581</v>
      </c>
      <c r="B76" s="3" t="s">
        <v>476</v>
      </c>
      <c r="C76" s="3" t="s">
        <v>477</v>
      </c>
      <c r="D76" s="3" t="s">
        <v>49</v>
      </c>
      <c r="E76" s="3" t="s">
        <v>50</v>
      </c>
      <c r="F76" s="3" t="s">
        <v>478</v>
      </c>
      <c r="G76" s="3" t="s">
        <v>479</v>
      </c>
      <c r="H76" s="3" t="s">
        <v>0</v>
      </c>
      <c r="I76" s="3" t="s">
        <v>480</v>
      </c>
      <c r="J76" s="3" t="s">
        <v>481</v>
      </c>
      <c r="K76" s="3" t="s">
        <v>347</v>
      </c>
      <c r="L76" s="3" t="s">
        <v>482</v>
      </c>
      <c r="M76" s="3">
        <v>9</v>
      </c>
      <c r="N76" s="3">
        <v>23</v>
      </c>
      <c r="O76" s="3" t="s">
        <v>55</v>
      </c>
      <c r="P76" s="3" t="s">
        <v>44</v>
      </c>
      <c r="Q76" s="3">
        <v>0</v>
      </c>
      <c r="R76" s="3">
        <v>0</v>
      </c>
      <c r="S76" s="3">
        <v>0</v>
      </c>
      <c r="T76" s="3">
        <v>0</v>
      </c>
      <c r="U76" s="3">
        <v>2</v>
      </c>
      <c r="V76" s="3" t="s">
        <v>256</v>
      </c>
      <c r="W76" s="3">
        <v>0</v>
      </c>
      <c r="X76" s="3">
        <v>2</v>
      </c>
      <c r="Y76" s="3">
        <v>2</v>
      </c>
      <c r="Z76" s="3">
        <v>1</v>
      </c>
      <c r="AA76" s="3">
        <v>0</v>
      </c>
      <c r="AB76" s="3">
        <v>0</v>
      </c>
      <c r="AC76" s="3">
        <v>12</v>
      </c>
      <c r="AD76" s="3" t="s">
        <v>0</v>
      </c>
      <c r="AE76" s="3" t="s">
        <v>57</v>
      </c>
    </row>
    <row r="77" spans="1:31" ht="51" x14ac:dyDescent="0.2">
      <c r="A77" s="5" t="str">
        <f>HYPERLINK("http://www.patentics.cn/invokexml.do?sf=ShowPatent&amp;spn=CN101240948&amp;sv=76043b3e33cba5dd48d002d0ce9d0b5d","CN101240948")</f>
        <v>CN101240948</v>
      </c>
      <c r="B77" s="3" t="s">
        <v>483</v>
      </c>
      <c r="C77" s="3" t="s">
        <v>484</v>
      </c>
      <c r="D77" s="3" t="s">
        <v>49</v>
      </c>
      <c r="E77" s="3" t="s">
        <v>50</v>
      </c>
      <c r="F77" s="3" t="s">
        <v>485</v>
      </c>
      <c r="G77" s="3" t="s">
        <v>486</v>
      </c>
      <c r="H77" s="3" t="s">
        <v>487</v>
      </c>
      <c r="I77" s="3" t="s">
        <v>487</v>
      </c>
      <c r="J77" s="3" t="s">
        <v>488</v>
      </c>
      <c r="K77" s="3" t="s">
        <v>347</v>
      </c>
      <c r="L77" s="3" t="s">
        <v>482</v>
      </c>
      <c r="M77" s="3">
        <v>6</v>
      </c>
      <c r="N77" s="3">
        <v>24</v>
      </c>
      <c r="O77" s="3" t="s">
        <v>75</v>
      </c>
      <c r="P77" s="3" t="s">
        <v>44</v>
      </c>
      <c r="Q77" s="3">
        <v>0</v>
      </c>
      <c r="R77" s="3">
        <v>0</v>
      </c>
      <c r="S77" s="3">
        <v>0</v>
      </c>
      <c r="T77" s="3">
        <v>0</v>
      </c>
      <c r="U77" s="3">
        <v>11</v>
      </c>
      <c r="V77" s="3" t="s">
        <v>489</v>
      </c>
      <c r="W77" s="3">
        <v>2</v>
      </c>
      <c r="X77" s="3">
        <v>9</v>
      </c>
      <c r="Y77" s="3">
        <v>5</v>
      </c>
      <c r="Z77" s="3">
        <v>2</v>
      </c>
      <c r="AA77" s="3">
        <v>1</v>
      </c>
      <c r="AB77" s="3">
        <v>1</v>
      </c>
      <c r="AC77" s="3">
        <v>12</v>
      </c>
      <c r="AD77" s="3" t="s">
        <v>0</v>
      </c>
      <c r="AE77" s="3" t="s">
        <v>46</v>
      </c>
    </row>
    <row r="78" spans="1:31" ht="38.25" x14ac:dyDescent="0.2">
      <c r="A78" s="4" t="str">
        <f>HYPERLINK("http://www.patentics.cn/invokexml.do?sf=ShowPatent&amp;spn=CN102226550B&amp;sv=7effe4c6492b0beb0689613ab5a98684","CN102226550B")</f>
        <v>CN102226550B</v>
      </c>
      <c r="B78" s="2" t="s">
        <v>490</v>
      </c>
      <c r="C78" s="2" t="s">
        <v>491</v>
      </c>
      <c r="D78" s="2" t="s">
        <v>246</v>
      </c>
      <c r="E78" s="2" t="s">
        <v>36</v>
      </c>
      <c r="F78" s="2" t="s">
        <v>492</v>
      </c>
      <c r="G78" s="2" t="s">
        <v>493</v>
      </c>
      <c r="H78" s="2" t="s">
        <v>494</v>
      </c>
      <c r="I78" s="2" t="s">
        <v>494</v>
      </c>
      <c r="J78" s="2" t="s">
        <v>495</v>
      </c>
      <c r="K78" s="2" t="s">
        <v>41</v>
      </c>
      <c r="L78" s="2" t="s">
        <v>42</v>
      </c>
      <c r="M78" s="2">
        <v>7</v>
      </c>
      <c r="N78" s="2">
        <v>40</v>
      </c>
      <c r="O78" s="2" t="s">
        <v>43</v>
      </c>
      <c r="P78" s="2" t="s">
        <v>44</v>
      </c>
      <c r="Q78" s="2">
        <v>7</v>
      </c>
      <c r="R78" s="2">
        <v>2</v>
      </c>
      <c r="S78" s="2">
        <v>5</v>
      </c>
      <c r="T78" s="2">
        <v>4</v>
      </c>
      <c r="U78" s="2">
        <v>0</v>
      </c>
      <c r="V78" s="2" t="s">
        <v>45</v>
      </c>
      <c r="W78" s="2">
        <v>0</v>
      </c>
      <c r="X78" s="2">
        <v>0</v>
      </c>
      <c r="Y78" s="2">
        <v>0</v>
      </c>
      <c r="Z78" s="2">
        <v>0</v>
      </c>
      <c r="AA78" s="2">
        <v>1</v>
      </c>
      <c r="AB78" s="2">
        <v>1</v>
      </c>
      <c r="AC78" s="2" t="s">
        <v>0</v>
      </c>
      <c r="AD78" s="2">
        <v>2</v>
      </c>
      <c r="AE78" s="2" t="s">
        <v>46</v>
      </c>
    </row>
    <row r="79" spans="1:31" ht="38.25" x14ac:dyDescent="0.2">
      <c r="A79" s="5" t="str">
        <f>HYPERLINK("http://www.patentics.cn/invokexml.do?sf=ShowPatent&amp;spn=CN101929706&amp;sv=55b37d3dd26926fc37327ffec78793e5","CN101929706")</f>
        <v>CN101929706</v>
      </c>
      <c r="B79" s="3" t="s">
        <v>496</v>
      </c>
      <c r="C79" s="3" t="s">
        <v>497</v>
      </c>
      <c r="D79" s="3" t="s">
        <v>498</v>
      </c>
      <c r="E79" s="3" t="s">
        <v>190</v>
      </c>
      <c r="F79" s="3" t="s">
        <v>499</v>
      </c>
      <c r="G79" s="3" t="s">
        <v>500</v>
      </c>
      <c r="H79" s="3" t="s">
        <v>501</v>
      </c>
      <c r="I79" s="3" t="s">
        <v>501</v>
      </c>
      <c r="J79" s="3" t="s">
        <v>502</v>
      </c>
      <c r="K79" s="3" t="s">
        <v>41</v>
      </c>
      <c r="L79" s="3" t="s">
        <v>42</v>
      </c>
      <c r="M79" s="3">
        <v>10</v>
      </c>
      <c r="N79" s="3">
        <v>13</v>
      </c>
      <c r="O79" s="3" t="s">
        <v>75</v>
      </c>
      <c r="P79" s="3" t="s">
        <v>44</v>
      </c>
      <c r="Q79" s="3">
        <v>0</v>
      </c>
      <c r="R79" s="3">
        <v>0</v>
      </c>
      <c r="S79" s="3">
        <v>0</v>
      </c>
      <c r="T79" s="3">
        <v>0</v>
      </c>
      <c r="U79" s="3">
        <v>1</v>
      </c>
      <c r="V79" s="3" t="s">
        <v>177</v>
      </c>
      <c r="W79" s="3">
        <v>0</v>
      </c>
      <c r="X79" s="3">
        <v>1</v>
      </c>
      <c r="Y79" s="3">
        <v>1</v>
      </c>
      <c r="Z79" s="3">
        <v>1</v>
      </c>
      <c r="AA79" s="3">
        <v>2</v>
      </c>
      <c r="AB79" s="3">
        <v>2</v>
      </c>
      <c r="AC79" s="3">
        <v>12</v>
      </c>
      <c r="AD79" s="3" t="s">
        <v>0</v>
      </c>
      <c r="AE79" s="3" t="s">
        <v>46</v>
      </c>
    </row>
    <row r="80" spans="1:31" ht="51" x14ac:dyDescent="0.2">
      <c r="A80" s="5" t="str">
        <f>HYPERLINK("http://www.patentics.cn/invokexml.do?sf=ShowPatent&amp;spn=CN201582948&amp;sv=61ea1fca018eaaf55b18b7d836d2990a","CN201582948")</f>
        <v>CN201582948</v>
      </c>
      <c r="B80" s="3" t="s">
        <v>503</v>
      </c>
      <c r="C80" s="3" t="s">
        <v>504</v>
      </c>
      <c r="D80" s="3" t="s">
        <v>49</v>
      </c>
      <c r="E80" s="3" t="s">
        <v>50</v>
      </c>
      <c r="F80" s="3" t="s">
        <v>505</v>
      </c>
      <c r="G80" s="3" t="s">
        <v>506</v>
      </c>
      <c r="H80" s="3" t="s">
        <v>0</v>
      </c>
      <c r="I80" s="3" t="s">
        <v>507</v>
      </c>
      <c r="J80" s="3" t="s">
        <v>508</v>
      </c>
      <c r="K80" s="3" t="s">
        <v>41</v>
      </c>
      <c r="L80" s="3" t="s">
        <v>91</v>
      </c>
      <c r="M80" s="3">
        <v>10</v>
      </c>
      <c r="N80" s="3">
        <v>18</v>
      </c>
      <c r="O80" s="3" t="s">
        <v>55</v>
      </c>
      <c r="P80" s="3" t="s">
        <v>44</v>
      </c>
      <c r="Q80" s="3">
        <v>0</v>
      </c>
      <c r="R80" s="3">
        <v>0</v>
      </c>
      <c r="S80" s="3">
        <v>0</v>
      </c>
      <c r="T80" s="3">
        <v>0</v>
      </c>
      <c r="U80" s="3">
        <v>9</v>
      </c>
      <c r="V80" s="3" t="s">
        <v>509</v>
      </c>
      <c r="W80" s="3">
        <v>0</v>
      </c>
      <c r="X80" s="3">
        <v>9</v>
      </c>
      <c r="Y80" s="3">
        <v>1</v>
      </c>
      <c r="Z80" s="3">
        <v>1</v>
      </c>
      <c r="AA80" s="3">
        <v>0</v>
      </c>
      <c r="AB80" s="3">
        <v>0</v>
      </c>
      <c r="AC80" s="3">
        <v>12</v>
      </c>
      <c r="AD80" s="3" t="s">
        <v>0</v>
      </c>
      <c r="AE80" s="3" t="s">
        <v>46</v>
      </c>
    </row>
    <row r="81" spans="1:31" ht="25.5" x14ac:dyDescent="0.2">
      <c r="A81" s="4" t="str">
        <f>HYPERLINK("http://www.patentics.cn/invokexml.do?sf=ShowPatent&amp;spn=CN102251964B&amp;sv=66ebe41d03226f590f0e86fc3c4257fa","CN102251964B")</f>
        <v>CN102251964B</v>
      </c>
      <c r="B81" s="2" t="s">
        <v>510</v>
      </c>
      <c r="C81" s="2" t="s">
        <v>511</v>
      </c>
      <c r="D81" s="2" t="s">
        <v>180</v>
      </c>
      <c r="E81" s="2" t="s">
        <v>36</v>
      </c>
      <c r="F81" s="2" t="s">
        <v>512</v>
      </c>
      <c r="G81" s="2" t="s">
        <v>513</v>
      </c>
      <c r="H81" s="2" t="s">
        <v>514</v>
      </c>
      <c r="I81" s="2" t="s">
        <v>514</v>
      </c>
      <c r="J81" s="2" t="s">
        <v>174</v>
      </c>
      <c r="K81" s="2" t="s">
        <v>185</v>
      </c>
      <c r="L81" s="2" t="s">
        <v>216</v>
      </c>
      <c r="M81" s="2">
        <v>7</v>
      </c>
      <c r="N81" s="2">
        <v>34</v>
      </c>
      <c r="O81" s="2" t="s">
        <v>43</v>
      </c>
      <c r="P81" s="2" t="s">
        <v>44</v>
      </c>
      <c r="Q81" s="2">
        <v>10</v>
      </c>
      <c r="R81" s="2">
        <v>1</v>
      </c>
      <c r="S81" s="2">
        <v>9</v>
      </c>
      <c r="T81" s="2">
        <v>7</v>
      </c>
      <c r="U81" s="2">
        <v>0</v>
      </c>
      <c r="V81" s="2" t="s">
        <v>45</v>
      </c>
      <c r="W81" s="2">
        <v>0</v>
      </c>
      <c r="X81" s="2">
        <v>0</v>
      </c>
      <c r="Y81" s="2">
        <v>0</v>
      </c>
      <c r="Z81" s="2">
        <v>0</v>
      </c>
      <c r="AA81" s="2">
        <v>2</v>
      </c>
      <c r="AB81" s="2">
        <v>2</v>
      </c>
      <c r="AC81" s="2" t="s">
        <v>0</v>
      </c>
      <c r="AD81" s="2">
        <v>2</v>
      </c>
      <c r="AE81" s="2" t="s">
        <v>46</v>
      </c>
    </row>
    <row r="82" spans="1:31" ht="38.25" x14ac:dyDescent="0.2">
      <c r="A82" s="5" t="str">
        <f>HYPERLINK("http://www.patentics.cn/invokexml.do?sf=ShowPatent&amp;spn=CN201351607&amp;sv=209f59efef30b5541f224394bbfcc409","CN201351607")</f>
        <v>CN201351607</v>
      </c>
      <c r="B82" s="3" t="s">
        <v>515</v>
      </c>
      <c r="C82" s="3" t="s">
        <v>516</v>
      </c>
      <c r="D82" s="3" t="s">
        <v>189</v>
      </c>
      <c r="E82" s="3" t="s">
        <v>190</v>
      </c>
      <c r="F82" s="3" t="s">
        <v>517</v>
      </c>
      <c r="G82" s="3" t="s">
        <v>299</v>
      </c>
      <c r="H82" s="3" t="s">
        <v>518</v>
      </c>
      <c r="I82" s="3" t="s">
        <v>519</v>
      </c>
      <c r="J82" s="3" t="s">
        <v>520</v>
      </c>
      <c r="K82" s="3" t="s">
        <v>185</v>
      </c>
      <c r="L82" s="3" t="s">
        <v>521</v>
      </c>
      <c r="M82" s="3">
        <v>12</v>
      </c>
      <c r="N82" s="3">
        <v>12</v>
      </c>
      <c r="O82" s="3" t="s">
        <v>55</v>
      </c>
      <c r="P82" s="3" t="s">
        <v>44</v>
      </c>
      <c r="Q82" s="3">
        <v>1</v>
      </c>
      <c r="R82" s="3">
        <v>1</v>
      </c>
      <c r="S82" s="3">
        <v>0</v>
      </c>
      <c r="T82" s="3">
        <v>1</v>
      </c>
      <c r="U82" s="3">
        <v>3</v>
      </c>
      <c r="V82" s="3" t="s">
        <v>522</v>
      </c>
      <c r="W82" s="3">
        <v>1</v>
      </c>
      <c r="X82" s="3">
        <v>2</v>
      </c>
      <c r="Y82" s="3">
        <v>3</v>
      </c>
      <c r="Z82" s="3">
        <v>2</v>
      </c>
      <c r="AA82" s="3">
        <v>2</v>
      </c>
      <c r="AB82" s="3">
        <v>2</v>
      </c>
      <c r="AC82" s="3">
        <v>12</v>
      </c>
      <c r="AD82" s="3" t="s">
        <v>0</v>
      </c>
      <c r="AE82" s="3" t="s">
        <v>46</v>
      </c>
    </row>
    <row r="83" spans="1:31" ht="38.25" x14ac:dyDescent="0.2">
      <c r="A83" s="5" t="str">
        <f>HYPERLINK("http://www.patentics.cn/invokexml.do?sf=ShowPatent&amp;spn=CN201025261&amp;sv=3ffed1594cfd22d03cefabd123022ec5","CN201025261")</f>
        <v>CN201025261</v>
      </c>
      <c r="B83" s="3" t="s">
        <v>523</v>
      </c>
      <c r="C83" s="3" t="s">
        <v>226</v>
      </c>
      <c r="D83" s="3" t="s">
        <v>189</v>
      </c>
      <c r="E83" s="3" t="s">
        <v>190</v>
      </c>
      <c r="F83" s="3" t="s">
        <v>524</v>
      </c>
      <c r="G83" s="3" t="s">
        <v>299</v>
      </c>
      <c r="H83" s="3" t="s">
        <v>0</v>
      </c>
      <c r="I83" s="3" t="s">
        <v>525</v>
      </c>
      <c r="J83" s="3" t="s">
        <v>526</v>
      </c>
      <c r="K83" s="3" t="s">
        <v>185</v>
      </c>
      <c r="L83" s="3" t="s">
        <v>216</v>
      </c>
      <c r="M83" s="3">
        <v>5</v>
      </c>
      <c r="N83" s="3">
        <v>12</v>
      </c>
      <c r="O83" s="3" t="s">
        <v>55</v>
      </c>
      <c r="P83" s="3" t="s">
        <v>44</v>
      </c>
      <c r="Q83" s="3">
        <v>0</v>
      </c>
      <c r="R83" s="3">
        <v>0</v>
      </c>
      <c r="S83" s="3">
        <v>0</v>
      </c>
      <c r="T83" s="3">
        <v>0</v>
      </c>
      <c r="U83" s="3">
        <v>8</v>
      </c>
      <c r="V83" s="3" t="s">
        <v>527</v>
      </c>
      <c r="W83" s="3">
        <v>6</v>
      </c>
      <c r="X83" s="3">
        <v>2</v>
      </c>
      <c r="Y83" s="3">
        <v>3</v>
      </c>
      <c r="Z83" s="3">
        <v>2</v>
      </c>
      <c r="AA83" s="3">
        <v>0</v>
      </c>
      <c r="AB83" s="3">
        <v>0</v>
      </c>
      <c r="AC83" s="3">
        <v>12</v>
      </c>
      <c r="AD83" s="3" t="s">
        <v>0</v>
      </c>
      <c r="AE83" s="3" t="s">
        <v>46</v>
      </c>
    </row>
    <row r="84" spans="1:31" ht="25.5" x14ac:dyDescent="0.2">
      <c r="A84" s="4" t="str">
        <f>HYPERLINK("http://www.patentics.cn/invokexml.do?sf=ShowPatent&amp;spn=CN102003769B&amp;sv=eda841fc43968dd0d039acd0abc2b0ac","CN102003769B")</f>
        <v>CN102003769B</v>
      </c>
      <c r="B84" s="2" t="s">
        <v>528</v>
      </c>
      <c r="C84" s="2" t="s">
        <v>529</v>
      </c>
      <c r="D84" s="2" t="s">
        <v>246</v>
      </c>
      <c r="E84" s="2" t="s">
        <v>36</v>
      </c>
      <c r="F84" s="2" t="s">
        <v>530</v>
      </c>
      <c r="G84" s="2" t="s">
        <v>531</v>
      </c>
      <c r="H84" s="2" t="s">
        <v>532</v>
      </c>
      <c r="I84" s="2" t="s">
        <v>532</v>
      </c>
      <c r="J84" s="2" t="s">
        <v>533</v>
      </c>
      <c r="K84" s="2" t="s">
        <v>41</v>
      </c>
      <c r="L84" s="2" t="s">
        <v>84</v>
      </c>
      <c r="M84" s="2">
        <v>10</v>
      </c>
      <c r="N84" s="2">
        <v>24</v>
      </c>
      <c r="O84" s="2" t="s">
        <v>43</v>
      </c>
      <c r="P84" s="2" t="s">
        <v>44</v>
      </c>
      <c r="Q84" s="2">
        <v>4</v>
      </c>
      <c r="R84" s="2">
        <v>2</v>
      </c>
      <c r="S84" s="2">
        <v>2</v>
      </c>
      <c r="T84" s="2">
        <v>2</v>
      </c>
      <c r="U84" s="2">
        <v>0</v>
      </c>
      <c r="V84" s="2" t="s">
        <v>45</v>
      </c>
      <c r="W84" s="2">
        <v>0</v>
      </c>
      <c r="X84" s="2">
        <v>0</v>
      </c>
      <c r="Y84" s="2">
        <v>0</v>
      </c>
      <c r="Z84" s="2">
        <v>0</v>
      </c>
      <c r="AA84" s="2">
        <v>1</v>
      </c>
      <c r="AB84" s="2">
        <v>1</v>
      </c>
      <c r="AC84" s="2" t="s">
        <v>0</v>
      </c>
      <c r="AD84" s="2">
        <v>2</v>
      </c>
      <c r="AE84" s="2" t="s">
        <v>46</v>
      </c>
    </row>
    <row r="85" spans="1:31" ht="63.75" x14ac:dyDescent="0.2">
      <c r="A85" s="5" t="str">
        <f>HYPERLINK("http://www.patentics.cn/invokexml.do?sf=ShowPatent&amp;spn=CN101514826&amp;sv=26516bd7b8ddde5d446be388aad6f8cc","CN101514826")</f>
        <v>CN101514826</v>
      </c>
      <c r="B85" s="3" t="s">
        <v>534</v>
      </c>
      <c r="C85" s="3" t="s">
        <v>535</v>
      </c>
      <c r="D85" s="3" t="s">
        <v>49</v>
      </c>
      <c r="E85" s="3" t="s">
        <v>50</v>
      </c>
      <c r="F85" s="3" t="s">
        <v>536</v>
      </c>
      <c r="G85" s="3" t="s">
        <v>264</v>
      </c>
      <c r="H85" s="3" t="s">
        <v>0</v>
      </c>
      <c r="I85" s="3" t="s">
        <v>537</v>
      </c>
      <c r="J85" s="3" t="s">
        <v>538</v>
      </c>
      <c r="K85" s="3" t="s">
        <v>41</v>
      </c>
      <c r="L85" s="3" t="s">
        <v>42</v>
      </c>
      <c r="M85" s="3">
        <v>9</v>
      </c>
      <c r="N85" s="3">
        <v>12</v>
      </c>
      <c r="O85" s="3" t="s">
        <v>75</v>
      </c>
      <c r="P85" s="3" t="s">
        <v>44</v>
      </c>
      <c r="Q85" s="3">
        <v>0</v>
      </c>
      <c r="R85" s="3">
        <v>0</v>
      </c>
      <c r="S85" s="3">
        <v>0</v>
      </c>
      <c r="T85" s="3">
        <v>0</v>
      </c>
      <c r="U85" s="3">
        <v>4</v>
      </c>
      <c r="V85" s="3" t="s">
        <v>539</v>
      </c>
      <c r="W85" s="3">
        <v>0</v>
      </c>
      <c r="X85" s="3">
        <v>4</v>
      </c>
      <c r="Y85" s="3">
        <v>1</v>
      </c>
      <c r="Z85" s="3">
        <v>2</v>
      </c>
      <c r="AA85" s="3">
        <v>0</v>
      </c>
      <c r="AB85" s="3">
        <v>0</v>
      </c>
      <c r="AC85" s="3">
        <v>12</v>
      </c>
      <c r="AD85" s="3" t="s">
        <v>0</v>
      </c>
      <c r="AE85" s="3" t="s">
        <v>100</v>
      </c>
    </row>
    <row r="86" spans="1:31" ht="38.25" x14ac:dyDescent="0.2">
      <c r="A86" s="5" t="str">
        <f>HYPERLINK("http://www.patentics.cn/invokexml.do?sf=ShowPatent&amp;spn=CN101464032&amp;sv=efcd675075a0d3b4862927b28011c077","CN101464032")</f>
        <v>CN101464032</v>
      </c>
      <c r="B86" s="3" t="s">
        <v>540</v>
      </c>
      <c r="C86" s="3" t="s">
        <v>541</v>
      </c>
      <c r="D86" s="3" t="s">
        <v>49</v>
      </c>
      <c r="E86" s="3" t="s">
        <v>50</v>
      </c>
      <c r="F86" s="3" t="s">
        <v>542</v>
      </c>
      <c r="G86" s="3" t="s">
        <v>543</v>
      </c>
      <c r="H86" s="3" t="s">
        <v>544</v>
      </c>
      <c r="I86" s="3" t="s">
        <v>544</v>
      </c>
      <c r="J86" s="3" t="s">
        <v>545</v>
      </c>
      <c r="K86" s="3" t="s">
        <v>41</v>
      </c>
      <c r="L86" s="3" t="s">
        <v>84</v>
      </c>
      <c r="M86" s="3">
        <v>16</v>
      </c>
      <c r="N86" s="3">
        <v>29</v>
      </c>
      <c r="O86" s="3" t="s">
        <v>75</v>
      </c>
      <c r="P86" s="3" t="s">
        <v>44</v>
      </c>
      <c r="Q86" s="3">
        <v>0</v>
      </c>
      <c r="R86" s="3">
        <v>0</v>
      </c>
      <c r="S86" s="3">
        <v>0</v>
      </c>
      <c r="T86" s="3">
        <v>0</v>
      </c>
      <c r="U86" s="3">
        <v>15</v>
      </c>
      <c r="V86" s="3" t="s">
        <v>546</v>
      </c>
      <c r="W86" s="3">
        <v>0</v>
      </c>
      <c r="X86" s="3">
        <v>15</v>
      </c>
      <c r="Y86" s="3">
        <v>5</v>
      </c>
      <c r="Z86" s="3">
        <v>2</v>
      </c>
      <c r="AA86" s="3">
        <v>1</v>
      </c>
      <c r="AB86" s="3">
        <v>1</v>
      </c>
      <c r="AC86" s="3">
        <v>12</v>
      </c>
      <c r="AD86" s="3" t="s">
        <v>0</v>
      </c>
      <c r="AE86" s="3" t="s">
        <v>46</v>
      </c>
    </row>
    <row r="87" spans="1:31" ht="63.75" x14ac:dyDescent="0.2">
      <c r="A87" s="4" t="str">
        <f>HYPERLINK("http://www.patentics.cn/invokexml.do?sf=ShowPatent&amp;spn=CN101793429B&amp;sv=a815e69b197e01c31ba320b0c86f159b","CN101793429B")</f>
        <v>CN101793429B</v>
      </c>
      <c r="B87" s="2" t="s">
        <v>547</v>
      </c>
      <c r="C87" s="2" t="s">
        <v>548</v>
      </c>
      <c r="D87" s="2" t="s">
        <v>246</v>
      </c>
      <c r="E87" s="2" t="s">
        <v>36</v>
      </c>
      <c r="F87" s="2" t="s">
        <v>549</v>
      </c>
      <c r="G87" s="2" t="s">
        <v>550</v>
      </c>
      <c r="H87" s="2" t="s">
        <v>551</v>
      </c>
      <c r="I87" s="2" t="s">
        <v>551</v>
      </c>
      <c r="J87" s="2" t="s">
        <v>552</v>
      </c>
      <c r="K87" s="2" t="s">
        <v>41</v>
      </c>
      <c r="L87" s="2" t="s">
        <v>84</v>
      </c>
      <c r="M87" s="2">
        <v>4</v>
      </c>
      <c r="N87" s="2">
        <v>37</v>
      </c>
      <c r="O87" s="2" t="s">
        <v>43</v>
      </c>
      <c r="P87" s="2" t="s">
        <v>44</v>
      </c>
      <c r="Q87" s="2">
        <v>4</v>
      </c>
      <c r="R87" s="2">
        <v>0</v>
      </c>
      <c r="S87" s="2">
        <v>4</v>
      </c>
      <c r="T87" s="2">
        <v>3</v>
      </c>
      <c r="U87" s="2">
        <v>1</v>
      </c>
      <c r="V87" s="2" t="s">
        <v>553</v>
      </c>
      <c r="W87" s="2">
        <v>0</v>
      </c>
      <c r="X87" s="2">
        <v>1</v>
      </c>
      <c r="Y87" s="2">
        <v>1</v>
      </c>
      <c r="Z87" s="2">
        <v>1</v>
      </c>
      <c r="AA87" s="2">
        <v>1</v>
      </c>
      <c r="AB87" s="2">
        <v>1</v>
      </c>
      <c r="AC87" s="2" t="s">
        <v>0</v>
      </c>
      <c r="AD87" s="2">
        <v>2</v>
      </c>
      <c r="AE87" s="2" t="s">
        <v>46</v>
      </c>
    </row>
    <row r="88" spans="1:31" ht="51" x14ac:dyDescent="0.2">
      <c r="A88" s="5" t="str">
        <f>HYPERLINK("http://www.patentics.cn/invokexml.do?sf=ShowPatent&amp;spn=CN1796885&amp;sv=3d8cb2176cb4c7dd2809b75584bd3a45","CN1796885")</f>
        <v>CN1796885</v>
      </c>
      <c r="B88" s="3" t="s">
        <v>554</v>
      </c>
      <c r="C88" s="3" t="s">
        <v>555</v>
      </c>
      <c r="D88" s="3" t="s">
        <v>49</v>
      </c>
      <c r="E88" s="3" t="s">
        <v>50</v>
      </c>
      <c r="F88" s="3" t="s">
        <v>556</v>
      </c>
      <c r="G88" s="3" t="s">
        <v>52</v>
      </c>
      <c r="H88" s="3" t="s">
        <v>0</v>
      </c>
      <c r="I88" s="3" t="s">
        <v>557</v>
      </c>
      <c r="J88" s="3" t="s">
        <v>558</v>
      </c>
      <c r="K88" s="3" t="s">
        <v>41</v>
      </c>
      <c r="L88" s="3" t="s">
        <v>84</v>
      </c>
      <c r="M88" s="3">
        <v>8</v>
      </c>
      <c r="N88" s="3">
        <v>13</v>
      </c>
      <c r="O88" s="3" t="s">
        <v>75</v>
      </c>
      <c r="P88" s="3" t="s">
        <v>44</v>
      </c>
      <c r="Q88" s="3">
        <v>0</v>
      </c>
      <c r="R88" s="3">
        <v>0</v>
      </c>
      <c r="S88" s="3">
        <v>0</v>
      </c>
      <c r="T88" s="3">
        <v>0</v>
      </c>
      <c r="U88" s="3">
        <v>7</v>
      </c>
      <c r="V88" s="3" t="s">
        <v>559</v>
      </c>
      <c r="W88" s="3">
        <v>1</v>
      </c>
      <c r="X88" s="3">
        <v>6</v>
      </c>
      <c r="Y88" s="3">
        <v>7</v>
      </c>
      <c r="Z88" s="3">
        <v>1</v>
      </c>
      <c r="AA88" s="3">
        <v>0</v>
      </c>
      <c r="AB88" s="3">
        <v>0</v>
      </c>
      <c r="AC88" s="3">
        <v>12</v>
      </c>
      <c r="AD88" s="3" t="s">
        <v>0</v>
      </c>
      <c r="AE88" s="3" t="s">
        <v>302</v>
      </c>
    </row>
    <row r="89" spans="1:31" ht="38.25" x14ac:dyDescent="0.2">
      <c r="A89" s="5" t="str">
        <f>HYPERLINK("http://www.patentics.cn/invokexml.do?sf=ShowPatent&amp;spn=CN1508499&amp;sv=3df87dc4f869698e87710acbf7c6bd58","CN1508499")</f>
        <v>CN1508499</v>
      </c>
      <c r="B89" s="3" t="s">
        <v>560</v>
      </c>
      <c r="C89" s="3" t="s">
        <v>561</v>
      </c>
      <c r="D89" s="3" t="s">
        <v>49</v>
      </c>
      <c r="E89" s="3" t="s">
        <v>50</v>
      </c>
      <c r="F89" s="3" t="s">
        <v>562</v>
      </c>
      <c r="G89" s="3" t="s">
        <v>563</v>
      </c>
      <c r="H89" s="3" t="s">
        <v>564</v>
      </c>
      <c r="I89" s="3" t="s">
        <v>564</v>
      </c>
      <c r="J89" s="3" t="s">
        <v>565</v>
      </c>
      <c r="K89" s="3" t="s">
        <v>347</v>
      </c>
      <c r="L89" s="3" t="s">
        <v>566</v>
      </c>
      <c r="M89" s="3">
        <v>8</v>
      </c>
      <c r="N89" s="3">
        <v>13</v>
      </c>
      <c r="O89" s="3" t="s">
        <v>75</v>
      </c>
      <c r="P89" s="3" t="s">
        <v>44</v>
      </c>
      <c r="Q89" s="3">
        <v>1</v>
      </c>
      <c r="R89" s="3">
        <v>0</v>
      </c>
      <c r="S89" s="3">
        <v>1</v>
      </c>
      <c r="T89" s="3">
        <v>1</v>
      </c>
      <c r="U89" s="3">
        <v>8</v>
      </c>
      <c r="V89" s="3" t="s">
        <v>567</v>
      </c>
      <c r="W89" s="3">
        <v>1</v>
      </c>
      <c r="X89" s="3">
        <v>7</v>
      </c>
      <c r="Y89" s="3">
        <v>6</v>
      </c>
      <c r="Z89" s="3">
        <v>1</v>
      </c>
      <c r="AA89" s="3">
        <v>1</v>
      </c>
      <c r="AB89" s="3">
        <v>1</v>
      </c>
      <c r="AC89" s="3">
        <v>12</v>
      </c>
      <c r="AD89" s="3" t="s">
        <v>0</v>
      </c>
      <c r="AE89" s="3" t="s">
        <v>46</v>
      </c>
    </row>
    <row r="90" spans="1:31" ht="25.5" x14ac:dyDescent="0.2">
      <c r="A90" s="4" t="str">
        <f>HYPERLINK("http://www.patentics.cn/invokexml.do?sf=ShowPatent&amp;spn=CN101561170B&amp;sv=ebe9f634f3dfeb60c3fe909c91a66837","CN101561170B")</f>
        <v>CN101561170B</v>
      </c>
      <c r="B90" s="2" t="s">
        <v>568</v>
      </c>
      <c r="C90" s="2" t="s">
        <v>569</v>
      </c>
      <c r="D90" s="2" t="s">
        <v>35</v>
      </c>
      <c r="E90" s="2" t="s">
        <v>36</v>
      </c>
      <c r="F90" s="2" t="s">
        <v>570</v>
      </c>
      <c r="G90" s="2" t="s">
        <v>531</v>
      </c>
      <c r="H90" s="2" t="s">
        <v>571</v>
      </c>
      <c r="I90" s="2" t="s">
        <v>571</v>
      </c>
      <c r="J90" s="2" t="s">
        <v>572</v>
      </c>
      <c r="K90" s="2" t="s">
        <v>41</v>
      </c>
      <c r="L90" s="2" t="s">
        <v>84</v>
      </c>
      <c r="M90" s="2">
        <v>10</v>
      </c>
      <c r="N90" s="2">
        <v>6</v>
      </c>
      <c r="O90" s="2" t="s">
        <v>43</v>
      </c>
      <c r="P90" s="2" t="s">
        <v>44</v>
      </c>
      <c r="Q90" s="2">
        <v>6</v>
      </c>
      <c r="R90" s="2">
        <v>0</v>
      </c>
      <c r="S90" s="2">
        <v>6</v>
      </c>
      <c r="T90" s="2">
        <v>5</v>
      </c>
      <c r="U90" s="2">
        <v>0</v>
      </c>
      <c r="V90" s="2" t="s">
        <v>45</v>
      </c>
      <c r="W90" s="2">
        <v>0</v>
      </c>
      <c r="X90" s="2">
        <v>0</v>
      </c>
      <c r="Y90" s="2">
        <v>0</v>
      </c>
      <c r="Z90" s="2">
        <v>0</v>
      </c>
      <c r="AA90" s="2">
        <v>1</v>
      </c>
      <c r="AB90" s="2">
        <v>1</v>
      </c>
      <c r="AC90" s="2" t="s">
        <v>0</v>
      </c>
      <c r="AD90" s="2">
        <v>2</v>
      </c>
      <c r="AE90" s="2" t="s">
        <v>46</v>
      </c>
    </row>
    <row r="91" spans="1:31" ht="51" x14ac:dyDescent="0.2">
      <c r="A91" s="5" t="str">
        <f>HYPERLINK("http://www.patentics.cn/invokexml.do?sf=ShowPatent&amp;spn=CN101033882&amp;sv=b7dc1de2045356a037bb8d754e746ba7","CN101033882")</f>
        <v>CN101033882</v>
      </c>
      <c r="B91" s="3" t="s">
        <v>573</v>
      </c>
      <c r="C91" s="3" t="s">
        <v>574</v>
      </c>
      <c r="D91" s="3" t="s">
        <v>49</v>
      </c>
      <c r="E91" s="3" t="s">
        <v>50</v>
      </c>
      <c r="F91" s="3" t="s">
        <v>575</v>
      </c>
      <c r="G91" s="3" t="s">
        <v>88</v>
      </c>
      <c r="H91" s="3" t="s">
        <v>576</v>
      </c>
      <c r="I91" s="3" t="s">
        <v>576</v>
      </c>
      <c r="J91" s="3" t="s">
        <v>577</v>
      </c>
      <c r="K91" s="3" t="s">
        <v>41</v>
      </c>
      <c r="L91" s="3" t="s">
        <v>84</v>
      </c>
      <c r="M91" s="3">
        <v>21</v>
      </c>
      <c r="N91" s="3">
        <v>9</v>
      </c>
      <c r="O91" s="3" t="s">
        <v>75</v>
      </c>
      <c r="P91" s="3" t="s">
        <v>44</v>
      </c>
      <c r="Q91" s="3">
        <v>0</v>
      </c>
      <c r="R91" s="3">
        <v>0</v>
      </c>
      <c r="S91" s="3">
        <v>0</v>
      </c>
      <c r="T91" s="3">
        <v>0</v>
      </c>
      <c r="U91" s="3">
        <v>16</v>
      </c>
      <c r="V91" s="3" t="s">
        <v>578</v>
      </c>
      <c r="W91" s="3">
        <v>7</v>
      </c>
      <c r="X91" s="3">
        <v>9</v>
      </c>
      <c r="Y91" s="3">
        <v>6</v>
      </c>
      <c r="Z91" s="3">
        <v>4</v>
      </c>
      <c r="AA91" s="3">
        <v>9</v>
      </c>
      <c r="AB91" s="3">
        <v>6</v>
      </c>
      <c r="AC91" s="3">
        <v>12</v>
      </c>
      <c r="AD91" s="3" t="s">
        <v>0</v>
      </c>
      <c r="AE91" s="3" t="s">
        <v>46</v>
      </c>
    </row>
    <row r="92" spans="1:31" ht="51" x14ac:dyDescent="0.2">
      <c r="A92" s="5" t="str">
        <f>HYPERLINK("http://www.patentics.cn/invokexml.do?sf=ShowPatent&amp;spn=CN101382331&amp;sv=f27caa034ea2e78d9c9e099374835d13","CN101382331")</f>
        <v>CN101382331</v>
      </c>
      <c r="B92" s="3" t="s">
        <v>579</v>
      </c>
      <c r="C92" s="3" t="s">
        <v>580</v>
      </c>
      <c r="D92" s="3" t="s">
        <v>49</v>
      </c>
      <c r="E92" s="3" t="s">
        <v>50</v>
      </c>
      <c r="F92" s="3" t="s">
        <v>575</v>
      </c>
      <c r="G92" s="3" t="s">
        <v>88</v>
      </c>
      <c r="H92" s="3" t="s">
        <v>576</v>
      </c>
      <c r="I92" s="3" t="s">
        <v>576</v>
      </c>
      <c r="J92" s="3" t="s">
        <v>581</v>
      </c>
      <c r="K92" s="3" t="s">
        <v>41</v>
      </c>
      <c r="L92" s="3" t="s">
        <v>84</v>
      </c>
      <c r="M92" s="3">
        <v>8</v>
      </c>
      <c r="N92" s="3">
        <v>28</v>
      </c>
      <c r="O92" s="3" t="s">
        <v>75</v>
      </c>
      <c r="P92" s="3" t="s">
        <v>44</v>
      </c>
      <c r="Q92" s="3">
        <v>1</v>
      </c>
      <c r="R92" s="3">
        <v>1</v>
      </c>
      <c r="S92" s="3">
        <v>0</v>
      </c>
      <c r="T92" s="3">
        <v>1</v>
      </c>
      <c r="U92" s="3">
        <v>4</v>
      </c>
      <c r="V92" s="3" t="s">
        <v>539</v>
      </c>
      <c r="W92" s="3">
        <v>0</v>
      </c>
      <c r="X92" s="3">
        <v>4</v>
      </c>
      <c r="Y92" s="3">
        <v>2</v>
      </c>
      <c r="Z92" s="3">
        <v>1</v>
      </c>
      <c r="AA92" s="3">
        <v>1</v>
      </c>
      <c r="AB92" s="3">
        <v>1</v>
      </c>
      <c r="AC92" s="3">
        <v>12</v>
      </c>
      <c r="AD92" s="3" t="s">
        <v>0</v>
      </c>
      <c r="AE92" s="3" t="s">
        <v>46</v>
      </c>
    </row>
    <row r="93" spans="1:31" ht="38.25" x14ac:dyDescent="0.2">
      <c r="A93" s="4" t="str">
        <f>HYPERLINK("http://www.patentics.cn/invokexml.do?sf=ShowPatent&amp;spn=CN101424437B&amp;sv=4d6b69eb87855615f8cd5cc834d45e21","CN101424437B")</f>
        <v>CN101424437B</v>
      </c>
      <c r="B93" s="2" t="s">
        <v>582</v>
      </c>
      <c r="C93" s="2" t="s">
        <v>583</v>
      </c>
      <c r="D93" s="2" t="s">
        <v>246</v>
      </c>
      <c r="E93" s="2" t="s">
        <v>36</v>
      </c>
      <c r="F93" s="2" t="s">
        <v>584</v>
      </c>
      <c r="G93" s="2" t="s">
        <v>585</v>
      </c>
      <c r="H93" s="2" t="s">
        <v>586</v>
      </c>
      <c r="I93" s="2" t="s">
        <v>586</v>
      </c>
      <c r="J93" s="2" t="s">
        <v>587</v>
      </c>
      <c r="K93" s="2" t="s">
        <v>41</v>
      </c>
      <c r="L93" s="2" t="s">
        <v>69</v>
      </c>
      <c r="M93" s="2">
        <v>6</v>
      </c>
      <c r="N93" s="2">
        <v>26</v>
      </c>
      <c r="O93" s="2" t="s">
        <v>43</v>
      </c>
      <c r="P93" s="2" t="s">
        <v>44</v>
      </c>
      <c r="Q93" s="2">
        <v>3</v>
      </c>
      <c r="R93" s="2">
        <v>1</v>
      </c>
      <c r="S93" s="2">
        <v>2</v>
      </c>
      <c r="T93" s="2">
        <v>2</v>
      </c>
      <c r="U93" s="2">
        <v>0</v>
      </c>
      <c r="V93" s="2" t="s">
        <v>45</v>
      </c>
      <c r="W93" s="2">
        <v>0</v>
      </c>
      <c r="X93" s="2">
        <v>0</v>
      </c>
      <c r="Y93" s="2">
        <v>0</v>
      </c>
      <c r="Z93" s="2">
        <v>0</v>
      </c>
      <c r="AA93" s="2">
        <v>1</v>
      </c>
      <c r="AB93" s="2">
        <v>1</v>
      </c>
      <c r="AC93" s="2" t="s">
        <v>0</v>
      </c>
      <c r="AD93" s="2">
        <v>2</v>
      </c>
      <c r="AE93" s="2" t="s">
        <v>46</v>
      </c>
    </row>
    <row r="94" spans="1:31" ht="51" x14ac:dyDescent="0.2">
      <c r="A94" s="5" t="str">
        <f>HYPERLINK("http://www.patentics.cn/invokexml.do?sf=ShowPatent&amp;spn=CN2830945&amp;sv=794e24bff67fd28d2b75b504f70b92d4","CN2830945")</f>
        <v>CN2830945</v>
      </c>
      <c r="B94" s="3" t="s">
        <v>588</v>
      </c>
      <c r="C94" s="3" t="s">
        <v>419</v>
      </c>
      <c r="D94" s="3" t="s">
        <v>49</v>
      </c>
      <c r="E94" s="3" t="s">
        <v>50</v>
      </c>
      <c r="F94" s="3" t="s">
        <v>589</v>
      </c>
      <c r="G94" s="3" t="s">
        <v>264</v>
      </c>
      <c r="H94" s="3" t="s">
        <v>0</v>
      </c>
      <c r="I94" s="3" t="s">
        <v>134</v>
      </c>
      <c r="J94" s="3" t="s">
        <v>590</v>
      </c>
      <c r="K94" s="3" t="s">
        <v>41</v>
      </c>
      <c r="L94" s="3" t="s">
        <v>42</v>
      </c>
      <c r="M94" s="3">
        <v>6</v>
      </c>
      <c r="N94" s="3">
        <v>26</v>
      </c>
      <c r="O94" s="3" t="s">
        <v>55</v>
      </c>
      <c r="P94" s="3" t="s">
        <v>44</v>
      </c>
      <c r="Q94" s="3">
        <v>1</v>
      </c>
      <c r="R94" s="3">
        <v>0</v>
      </c>
      <c r="S94" s="3">
        <v>1</v>
      </c>
      <c r="T94" s="3">
        <v>1</v>
      </c>
      <c r="U94" s="3">
        <v>1</v>
      </c>
      <c r="V94" s="3" t="s">
        <v>256</v>
      </c>
      <c r="W94" s="3">
        <v>0</v>
      </c>
      <c r="X94" s="3">
        <v>1</v>
      </c>
      <c r="Y94" s="3">
        <v>1</v>
      </c>
      <c r="Z94" s="3">
        <v>1</v>
      </c>
      <c r="AA94" s="3">
        <v>0</v>
      </c>
      <c r="AB94" s="3">
        <v>0</v>
      </c>
      <c r="AC94" s="3">
        <v>12</v>
      </c>
      <c r="AD94" s="3" t="s">
        <v>0</v>
      </c>
      <c r="AE94" s="3" t="s">
        <v>57</v>
      </c>
    </row>
    <row r="95" spans="1:31" ht="38.25" x14ac:dyDescent="0.2">
      <c r="A95" s="5" t="str">
        <f>HYPERLINK("http://www.patentics.cn/invokexml.do?sf=ShowPatent&amp;spn=CN2842264&amp;sv=bd00162d9da7742fa7bf0ccd7879c804","CN2842264")</f>
        <v>CN2842264</v>
      </c>
      <c r="B95" s="3" t="s">
        <v>591</v>
      </c>
      <c r="C95" s="3" t="s">
        <v>419</v>
      </c>
      <c r="D95" s="3" t="s">
        <v>49</v>
      </c>
      <c r="E95" s="3" t="s">
        <v>50</v>
      </c>
      <c r="F95" s="3" t="s">
        <v>592</v>
      </c>
      <c r="G95" s="3" t="s">
        <v>264</v>
      </c>
      <c r="H95" s="3" t="s">
        <v>0</v>
      </c>
      <c r="I95" s="3" t="s">
        <v>593</v>
      </c>
      <c r="J95" s="3" t="s">
        <v>594</v>
      </c>
      <c r="K95" s="3" t="s">
        <v>41</v>
      </c>
      <c r="L95" s="3" t="s">
        <v>42</v>
      </c>
      <c r="M95" s="3">
        <v>10</v>
      </c>
      <c r="N95" s="3">
        <v>22</v>
      </c>
      <c r="O95" s="3" t="s">
        <v>55</v>
      </c>
      <c r="P95" s="3" t="s">
        <v>44</v>
      </c>
      <c r="Q95" s="3">
        <v>1</v>
      </c>
      <c r="R95" s="3">
        <v>0</v>
      </c>
      <c r="S95" s="3">
        <v>1</v>
      </c>
      <c r="T95" s="3">
        <v>1</v>
      </c>
      <c r="U95" s="3">
        <v>1</v>
      </c>
      <c r="V95" s="3" t="s">
        <v>256</v>
      </c>
      <c r="W95" s="3">
        <v>0</v>
      </c>
      <c r="X95" s="3">
        <v>1</v>
      </c>
      <c r="Y95" s="3">
        <v>1</v>
      </c>
      <c r="Z95" s="3">
        <v>1</v>
      </c>
      <c r="AA95" s="3">
        <v>0</v>
      </c>
      <c r="AB95" s="3">
        <v>0</v>
      </c>
      <c r="AC95" s="3">
        <v>12</v>
      </c>
      <c r="AD95" s="3" t="s">
        <v>0</v>
      </c>
      <c r="AE95" s="3" t="s">
        <v>57</v>
      </c>
    </row>
    <row r="96" spans="1:31" ht="38.25" x14ac:dyDescent="0.2">
      <c r="A96" s="4" t="str">
        <f>HYPERLINK("http://www.patentics.cn/invokexml.do?sf=ShowPatent&amp;spn=CN100554823C&amp;sv=a2a093d1ce72ae1827b707858cbaef08","CN100554823C")</f>
        <v>CN100554823C</v>
      </c>
      <c r="B96" s="2" t="s">
        <v>595</v>
      </c>
      <c r="C96" s="2" t="s">
        <v>596</v>
      </c>
      <c r="D96" s="2" t="s">
        <v>246</v>
      </c>
      <c r="E96" s="2" t="s">
        <v>36</v>
      </c>
      <c r="F96" s="2" t="s">
        <v>597</v>
      </c>
      <c r="G96" s="2" t="s">
        <v>598</v>
      </c>
      <c r="H96" s="2" t="s">
        <v>576</v>
      </c>
      <c r="I96" s="2" t="s">
        <v>576</v>
      </c>
      <c r="J96" s="2" t="s">
        <v>599</v>
      </c>
      <c r="K96" s="2" t="s">
        <v>347</v>
      </c>
      <c r="L96" s="2" t="s">
        <v>482</v>
      </c>
      <c r="M96" s="2">
        <v>2</v>
      </c>
      <c r="N96" s="2">
        <v>18</v>
      </c>
      <c r="O96" s="2" t="s">
        <v>43</v>
      </c>
      <c r="P96" s="2" t="s">
        <v>44</v>
      </c>
      <c r="Q96" s="2">
        <v>7</v>
      </c>
      <c r="R96" s="2">
        <v>1</v>
      </c>
      <c r="S96" s="2">
        <v>6</v>
      </c>
      <c r="T96" s="2">
        <v>5</v>
      </c>
      <c r="U96" s="2">
        <v>0</v>
      </c>
      <c r="V96" s="2" t="s">
        <v>45</v>
      </c>
      <c r="W96" s="2">
        <v>0</v>
      </c>
      <c r="X96" s="2">
        <v>0</v>
      </c>
      <c r="Y96" s="2">
        <v>0</v>
      </c>
      <c r="Z96" s="2">
        <v>0</v>
      </c>
      <c r="AA96" s="2">
        <v>1</v>
      </c>
      <c r="AB96" s="2">
        <v>1</v>
      </c>
      <c r="AC96" s="2" t="s">
        <v>0</v>
      </c>
      <c r="AD96" s="2">
        <v>2</v>
      </c>
      <c r="AE96" s="2" t="s">
        <v>46</v>
      </c>
    </row>
    <row r="97" spans="1:31" ht="51" x14ac:dyDescent="0.2">
      <c r="A97" s="5" t="str">
        <f>HYPERLINK("http://www.patentics.cn/invokexml.do?sf=ShowPatent&amp;spn=CN101165438&amp;sv=ea18763591864194820a7f7e15fc42df","CN101165438")</f>
        <v>CN101165438</v>
      </c>
      <c r="B97" s="3" t="s">
        <v>600</v>
      </c>
      <c r="C97" s="3" t="s">
        <v>601</v>
      </c>
      <c r="D97" s="3" t="s">
        <v>49</v>
      </c>
      <c r="E97" s="3" t="s">
        <v>50</v>
      </c>
      <c r="F97" s="3" t="s">
        <v>602</v>
      </c>
      <c r="G97" s="3" t="s">
        <v>253</v>
      </c>
      <c r="H97" s="3" t="s">
        <v>603</v>
      </c>
      <c r="I97" s="3" t="s">
        <v>603</v>
      </c>
      <c r="J97" s="3" t="s">
        <v>604</v>
      </c>
      <c r="K97" s="3" t="s">
        <v>347</v>
      </c>
      <c r="L97" s="3" t="s">
        <v>482</v>
      </c>
      <c r="M97" s="3">
        <v>10</v>
      </c>
      <c r="N97" s="3">
        <v>13</v>
      </c>
      <c r="O97" s="3" t="s">
        <v>75</v>
      </c>
      <c r="P97" s="3" t="s">
        <v>44</v>
      </c>
      <c r="Q97" s="3">
        <v>0</v>
      </c>
      <c r="R97" s="3">
        <v>0</v>
      </c>
      <c r="S97" s="3">
        <v>0</v>
      </c>
      <c r="T97" s="3">
        <v>0</v>
      </c>
      <c r="U97" s="3">
        <v>8</v>
      </c>
      <c r="V97" s="3" t="s">
        <v>605</v>
      </c>
      <c r="W97" s="3">
        <v>1</v>
      </c>
      <c r="X97" s="3">
        <v>7</v>
      </c>
      <c r="Y97" s="3">
        <v>3</v>
      </c>
      <c r="Z97" s="3">
        <v>2</v>
      </c>
      <c r="AA97" s="3">
        <v>1</v>
      </c>
      <c r="AB97" s="3">
        <v>1</v>
      </c>
      <c r="AC97" s="3">
        <v>12</v>
      </c>
      <c r="AD97" s="3" t="s">
        <v>0</v>
      </c>
      <c r="AE97" s="3" t="s">
        <v>46</v>
      </c>
    </row>
    <row r="98" spans="1:31" ht="38.25" x14ac:dyDescent="0.2">
      <c r="A98" s="5" t="str">
        <f>HYPERLINK("http://www.patentics.cn/invokexml.do?sf=ShowPatent&amp;spn=CN2793372&amp;sv=1787a76526a1b2efade7f1435fdc97f6","CN2793372")</f>
        <v>CN2793372</v>
      </c>
      <c r="B98" s="3" t="s">
        <v>606</v>
      </c>
      <c r="C98" s="3" t="s">
        <v>607</v>
      </c>
      <c r="D98" s="3" t="s">
        <v>49</v>
      </c>
      <c r="E98" s="3" t="s">
        <v>50</v>
      </c>
      <c r="F98" s="3" t="s">
        <v>608</v>
      </c>
      <c r="G98" s="3" t="s">
        <v>609</v>
      </c>
      <c r="H98" s="3" t="s">
        <v>0</v>
      </c>
      <c r="I98" s="3" t="s">
        <v>610</v>
      </c>
      <c r="J98" s="3" t="s">
        <v>558</v>
      </c>
      <c r="K98" s="3" t="s">
        <v>185</v>
      </c>
      <c r="L98" s="3" t="s">
        <v>611</v>
      </c>
      <c r="M98" s="3">
        <v>2</v>
      </c>
      <c r="N98" s="3">
        <v>9</v>
      </c>
      <c r="O98" s="3" t="s">
        <v>55</v>
      </c>
      <c r="P98" s="3" t="s">
        <v>44</v>
      </c>
      <c r="Q98" s="3">
        <v>0</v>
      </c>
      <c r="R98" s="3">
        <v>0</v>
      </c>
      <c r="S98" s="3">
        <v>0</v>
      </c>
      <c r="T98" s="3">
        <v>0</v>
      </c>
      <c r="U98" s="3">
        <v>1</v>
      </c>
      <c r="V98" s="3" t="s">
        <v>177</v>
      </c>
      <c r="W98" s="3">
        <v>0</v>
      </c>
      <c r="X98" s="3">
        <v>1</v>
      </c>
      <c r="Y98" s="3">
        <v>1</v>
      </c>
      <c r="Z98" s="3">
        <v>1</v>
      </c>
      <c r="AA98" s="3">
        <v>0</v>
      </c>
      <c r="AB98" s="3">
        <v>0</v>
      </c>
      <c r="AC98" s="3">
        <v>12</v>
      </c>
      <c r="AD98" s="3" t="s">
        <v>0</v>
      </c>
      <c r="AE98" s="3" t="s">
        <v>57</v>
      </c>
    </row>
    <row r="99" spans="1:31" ht="63.75" x14ac:dyDescent="0.2">
      <c r="A99" s="4" t="str">
        <f>HYPERLINK("http://www.patentics.cn/invokexml.do?sf=ShowPatent&amp;spn=WO2011095020&amp;sv=1aa7427bbc2a1b1acac0a59d7933e2dd","WO2011095020")</f>
        <v>WO2011095020</v>
      </c>
      <c r="B99" s="2" t="s">
        <v>612</v>
      </c>
      <c r="C99" s="2" t="s">
        <v>613</v>
      </c>
      <c r="D99" s="2" t="s">
        <v>614</v>
      </c>
      <c r="E99" s="2" t="s">
        <v>615</v>
      </c>
      <c r="F99" s="2" t="s">
        <v>616</v>
      </c>
      <c r="G99" s="2" t="s">
        <v>617</v>
      </c>
      <c r="H99" s="2" t="s">
        <v>618</v>
      </c>
      <c r="I99" s="2" t="s">
        <v>619</v>
      </c>
      <c r="J99" s="2" t="s">
        <v>620</v>
      </c>
      <c r="K99" s="2" t="s">
        <v>41</v>
      </c>
      <c r="L99" s="2" t="s">
        <v>84</v>
      </c>
      <c r="M99" s="2">
        <v>7</v>
      </c>
      <c r="N99" s="2">
        <v>19</v>
      </c>
      <c r="O99" s="2" t="s">
        <v>123</v>
      </c>
      <c r="P99" s="2" t="s">
        <v>44</v>
      </c>
      <c r="Q99" s="2">
        <v>6</v>
      </c>
      <c r="R99" s="2">
        <v>1</v>
      </c>
      <c r="S99" s="2">
        <v>5</v>
      </c>
      <c r="T99" s="2">
        <v>5</v>
      </c>
      <c r="U99" s="2">
        <v>0</v>
      </c>
      <c r="V99" s="2" t="s">
        <v>45</v>
      </c>
      <c r="W99" s="2">
        <v>0</v>
      </c>
      <c r="X99" s="2">
        <v>0</v>
      </c>
      <c r="Y99" s="2">
        <v>0</v>
      </c>
      <c r="Z99" s="2">
        <v>0</v>
      </c>
      <c r="AA99" s="2">
        <v>2</v>
      </c>
      <c r="AB99" s="2">
        <v>2</v>
      </c>
      <c r="AC99" s="2" t="s">
        <v>0</v>
      </c>
      <c r="AD99" s="2">
        <v>2</v>
      </c>
      <c r="AE99" s="2" t="s">
        <v>0</v>
      </c>
    </row>
    <row r="100" spans="1:31" ht="38.25" x14ac:dyDescent="0.2">
      <c r="A100" s="5" t="str">
        <f>HYPERLINK("http://www.patentics.cn/invokexml.do?sf=ShowPatent&amp;spn=CN101464032&amp;sv=efcd675075a0d3b4862927b28011c077","CN101464032")</f>
        <v>CN101464032</v>
      </c>
      <c r="B100" s="3" t="s">
        <v>540</v>
      </c>
      <c r="C100" s="3" t="s">
        <v>541</v>
      </c>
      <c r="D100" s="3" t="s">
        <v>49</v>
      </c>
      <c r="E100" s="3" t="s">
        <v>50</v>
      </c>
      <c r="F100" s="3" t="s">
        <v>542</v>
      </c>
      <c r="G100" s="3" t="s">
        <v>543</v>
      </c>
      <c r="H100" s="3" t="s">
        <v>544</v>
      </c>
      <c r="I100" s="3" t="s">
        <v>544</v>
      </c>
      <c r="J100" s="3" t="s">
        <v>545</v>
      </c>
      <c r="K100" s="3" t="s">
        <v>41</v>
      </c>
      <c r="L100" s="3" t="s">
        <v>84</v>
      </c>
      <c r="M100" s="3">
        <v>16</v>
      </c>
      <c r="N100" s="3">
        <v>29</v>
      </c>
      <c r="O100" s="3" t="s">
        <v>75</v>
      </c>
      <c r="P100" s="3" t="s">
        <v>44</v>
      </c>
      <c r="Q100" s="3">
        <v>0</v>
      </c>
      <c r="R100" s="3">
        <v>0</v>
      </c>
      <c r="S100" s="3">
        <v>0</v>
      </c>
      <c r="T100" s="3">
        <v>0</v>
      </c>
      <c r="U100" s="3">
        <v>15</v>
      </c>
      <c r="V100" s="3" t="s">
        <v>546</v>
      </c>
      <c r="W100" s="3">
        <v>0</v>
      </c>
      <c r="X100" s="3">
        <v>15</v>
      </c>
      <c r="Y100" s="3">
        <v>5</v>
      </c>
      <c r="Z100" s="3">
        <v>2</v>
      </c>
      <c r="AA100" s="3">
        <v>1</v>
      </c>
      <c r="AB100" s="3">
        <v>1</v>
      </c>
      <c r="AC100" s="3">
        <v>12</v>
      </c>
      <c r="AD100" s="3" t="s">
        <v>0</v>
      </c>
      <c r="AE100" s="3" t="s">
        <v>46</v>
      </c>
    </row>
    <row r="101" spans="1:31" ht="63.75" x14ac:dyDescent="0.2">
      <c r="A101" s="5" t="str">
        <f>HYPERLINK("http://www.patentics.cn/invokexml.do?sf=ShowPatent&amp;spn=CN101514826&amp;sv=26516bd7b8ddde5d446be388aad6f8cc","CN101514826")</f>
        <v>CN101514826</v>
      </c>
      <c r="B101" s="3" t="s">
        <v>534</v>
      </c>
      <c r="C101" s="3" t="s">
        <v>535</v>
      </c>
      <c r="D101" s="3" t="s">
        <v>49</v>
      </c>
      <c r="E101" s="3" t="s">
        <v>50</v>
      </c>
      <c r="F101" s="3" t="s">
        <v>536</v>
      </c>
      <c r="G101" s="3" t="s">
        <v>264</v>
      </c>
      <c r="H101" s="3" t="s">
        <v>0</v>
      </c>
      <c r="I101" s="3" t="s">
        <v>537</v>
      </c>
      <c r="J101" s="3" t="s">
        <v>538</v>
      </c>
      <c r="K101" s="3" t="s">
        <v>41</v>
      </c>
      <c r="L101" s="3" t="s">
        <v>42</v>
      </c>
      <c r="M101" s="3">
        <v>9</v>
      </c>
      <c r="N101" s="3">
        <v>12</v>
      </c>
      <c r="O101" s="3" t="s">
        <v>75</v>
      </c>
      <c r="P101" s="3" t="s">
        <v>44</v>
      </c>
      <c r="Q101" s="3">
        <v>0</v>
      </c>
      <c r="R101" s="3">
        <v>0</v>
      </c>
      <c r="S101" s="3">
        <v>0</v>
      </c>
      <c r="T101" s="3">
        <v>0</v>
      </c>
      <c r="U101" s="3">
        <v>4</v>
      </c>
      <c r="V101" s="3" t="s">
        <v>539</v>
      </c>
      <c r="W101" s="3">
        <v>0</v>
      </c>
      <c r="X101" s="3">
        <v>4</v>
      </c>
      <c r="Y101" s="3">
        <v>1</v>
      </c>
      <c r="Z101" s="3">
        <v>2</v>
      </c>
      <c r="AA101" s="3">
        <v>0</v>
      </c>
      <c r="AB101" s="3">
        <v>0</v>
      </c>
      <c r="AC101" s="3">
        <v>12</v>
      </c>
      <c r="AD101" s="3" t="s">
        <v>0</v>
      </c>
      <c r="AE101" s="3" t="s">
        <v>100</v>
      </c>
    </row>
    <row r="102" spans="1:31" ht="38.25" x14ac:dyDescent="0.2">
      <c r="A102" s="4" t="str">
        <f>HYPERLINK("http://www.patentics.cn/invokexml.do?sf=ShowPatent&amp;spn=CN204776626&amp;sv=9e7ccdeb5042601c99561de07b00b74e","CN204776626")</f>
        <v>CN204776626</v>
      </c>
      <c r="B102" s="2" t="s">
        <v>621</v>
      </c>
      <c r="C102" s="2" t="s">
        <v>622</v>
      </c>
      <c r="D102" s="2" t="s">
        <v>623</v>
      </c>
      <c r="E102" s="2" t="s">
        <v>624</v>
      </c>
      <c r="F102" s="2" t="s">
        <v>625</v>
      </c>
      <c r="G102" s="2" t="s">
        <v>625</v>
      </c>
      <c r="H102" s="2" t="s">
        <v>0</v>
      </c>
      <c r="I102" s="2" t="s">
        <v>626</v>
      </c>
      <c r="J102" s="2" t="s">
        <v>627</v>
      </c>
      <c r="K102" s="2" t="s">
        <v>628</v>
      </c>
      <c r="L102" s="2" t="s">
        <v>629</v>
      </c>
      <c r="M102" s="2">
        <v>10</v>
      </c>
      <c r="N102" s="2">
        <v>12</v>
      </c>
      <c r="O102" s="2" t="s">
        <v>55</v>
      </c>
      <c r="P102" s="2" t="s">
        <v>44</v>
      </c>
      <c r="Q102" s="2">
        <v>3</v>
      </c>
      <c r="R102" s="2">
        <v>0</v>
      </c>
      <c r="S102" s="2">
        <v>3</v>
      </c>
      <c r="T102" s="2">
        <v>2</v>
      </c>
      <c r="U102" s="2">
        <v>0</v>
      </c>
      <c r="V102" s="2" t="s">
        <v>45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 t="s">
        <v>0</v>
      </c>
      <c r="AD102" s="2">
        <v>2</v>
      </c>
      <c r="AE102" s="2" t="s">
        <v>46</v>
      </c>
    </row>
    <row r="103" spans="1:31" ht="25.5" x14ac:dyDescent="0.2">
      <c r="A103" s="5" t="str">
        <f>HYPERLINK("http://www.patentics.cn/invokexml.do?sf=ShowPatent&amp;spn=CN103359379&amp;sv=56c4ce8fb71bd3f76e8604eada4b8d45","CN103359379")</f>
        <v>CN103359379</v>
      </c>
      <c r="B103" s="3" t="s">
        <v>630</v>
      </c>
      <c r="C103" s="3" t="s">
        <v>631</v>
      </c>
      <c r="D103" s="3" t="s">
        <v>49</v>
      </c>
      <c r="E103" s="3" t="s">
        <v>50</v>
      </c>
      <c r="F103" s="3" t="s">
        <v>632</v>
      </c>
      <c r="G103" s="3" t="s">
        <v>633</v>
      </c>
      <c r="H103" s="3" t="s">
        <v>0</v>
      </c>
      <c r="I103" s="3" t="s">
        <v>634</v>
      </c>
      <c r="J103" s="3" t="s">
        <v>635</v>
      </c>
      <c r="K103" s="3" t="s">
        <v>628</v>
      </c>
      <c r="L103" s="3" t="s">
        <v>636</v>
      </c>
      <c r="M103" s="3">
        <v>10</v>
      </c>
      <c r="N103" s="3">
        <v>6</v>
      </c>
      <c r="O103" s="3" t="s">
        <v>75</v>
      </c>
      <c r="P103" s="3" t="s">
        <v>44</v>
      </c>
      <c r="Q103" s="3">
        <v>0</v>
      </c>
      <c r="R103" s="3">
        <v>0</v>
      </c>
      <c r="S103" s="3">
        <v>0</v>
      </c>
      <c r="T103" s="3">
        <v>0</v>
      </c>
      <c r="U103" s="3">
        <v>2</v>
      </c>
      <c r="V103" s="3" t="s">
        <v>637</v>
      </c>
      <c r="W103" s="3">
        <v>0</v>
      </c>
      <c r="X103" s="3">
        <v>2</v>
      </c>
      <c r="Y103" s="3">
        <v>1</v>
      </c>
      <c r="Z103" s="3">
        <v>1</v>
      </c>
      <c r="AA103" s="3">
        <v>0</v>
      </c>
      <c r="AB103" s="3">
        <v>0</v>
      </c>
      <c r="AC103" s="3">
        <v>12</v>
      </c>
      <c r="AD103" s="3" t="s">
        <v>0</v>
      </c>
      <c r="AE103" s="3" t="s">
        <v>46</v>
      </c>
    </row>
    <row r="104" spans="1:31" ht="25.5" x14ac:dyDescent="0.2">
      <c r="A104" s="5" t="str">
        <f>HYPERLINK("http://www.patentics.cn/invokexml.do?sf=ShowPatent&amp;spn=CN202140273&amp;sv=9863d09b1cc23d92f6b5f30e736e0042","CN202140273")</f>
        <v>CN202140273</v>
      </c>
      <c r="B104" s="3" t="s">
        <v>638</v>
      </c>
      <c r="C104" s="3" t="s">
        <v>639</v>
      </c>
      <c r="D104" s="3" t="s">
        <v>49</v>
      </c>
      <c r="E104" s="3" t="s">
        <v>50</v>
      </c>
      <c r="F104" s="3" t="s">
        <v>640</v>
      </c>
      <c r="G104" s="3" t="s">
        <v>640</v>
      </c>
      <c r="H104" s="3" t="s">
        <v>0</v>
      </c>
      <c r="I104" s="3" t="s">
        <v>641</v>
      </c>
      <c r="J104" s="3" t="s">
        <v>642</v>
      </c>
      <c r="K104" s="3" t="s">
        <v>403</v>
      </c>
      <c r="L104" s="3" t="s">
        <v>643</v>
      </c>
      <c r="M104" s="3">
        <v>8</v>
      </c>
      <c r="N104" s="3">
        <v>13</v>
      </c>
      <c r="O104" s="3" t="s">
        <v>55</v>
      </c>
      <c r="P104" s="3" t="s">
        <v>44</v>
      </c>
      <c r="Q104" s="3">
        <v>0</v>
      </c>
      <c r="R104" s="3">
        <v>0</v>
      </c>
      <c r="S104" s="3">
        <v>0</v>
      </c>
      <c r="T104" s="3">
        <v>0</v>
      </c>
      <c r="U104" s="3">
        <v>5</v>
      </c>
      <c r="V104" s="3" t="s">
        <v>644</v>
      </c>
      <c r="W104" s="3">
        <v>3</v>
      </c>
      <c r="X104" s="3">
        <v>2</v>
      </c>
      <c r="Y104" s="3">
        <v>2</v>
      </c>
      <c r="Z104" s="3">
        <v>1</v>
      </c>
      <c r="AA104" s="3">
        <v>0</v>
      </c>
      <c r="AB104" s="3">
        <v>0</v>
      </c>
      <c r="AC104" s="3">
        <v>12</v>
      </c>
      <c r="AD104" s="3" t="s">
        <v>0</v>
      </c>
      <c r="AE104" s="3" t="s">
        <v>46</v>
      </c>
    </row>
    <row r="105" spans="1:31" ht="38.25" x14ac:dyDescent="0.2">
      <c r="A105" s="4" t="str">
        <f>HYPERLINK("http://www.patentics.cn/invokexml.do?sf=ShowPatent&amp;spn=CN204587727&amp;sv=a810ac4fa7891a38a5aa6cc21e84cea5","CN204587727")</f>
        <v>CN204587727</v>
      </c>
      <c r="B105" s="2" t="s">
        <v>645</v>
      </c>
      <c r="C105" s="2" t="s">
        <v>646</v>
      </c>
      <c r="D105" s="2" t="s">
        <v>623</v>
      </c>
      <c r="E105" s="2" t="s">
        <v>624</v>
      </c>
      <c r="F105" s="2" t="s">
        <v>647</v>
      </c>
      <c r="G105" s="2" t="s">
        <v>648</v>
      </c>
      <c r="H105" s="2" t="s">
        <v>0</v>
      </c>
      <c r="I105" s="2" t="s">
        <v>649</v>
      </c>
      <c r="J105" s="2" t="s">
        <v>650</v>
      </c>
      <c r="K105" s="2" t="s">
        <v>628</v>
      </c>
      <c r="L105" s="2" t="s">
        <v>651</v>
      </c>
      <c r="M105" s="2">
        <v>10</v>
      </c>
      <c r="N105" s="2">
        <v>9</v>
      </c>
      <c r="O105" s="2" t="s">
        <v>55</v>
      </c>
      <c r="P105" s="2" t="s">
        <v>44</v>
      </c>
      <c r="Q105" s="2">
        <v>3</v>
      </c>
      <c r="R105" s="2">
        <v>0</v>
      </c>
      <c r="S105" s="2">
        <v>3</v>
      </c>
      <c r="T105" s="2">
        <v>2</v>
      </c>
      <c r="U105" s="2">
        <v>0</v>
      </c>
      <c r="V105" s="2" t="s">
        <v>45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 t="s">
        <v>0</v>
      </c>
      <c r="AD105" s="2">
        <v>2</v>
      </c>
      <c r="AE105" s="2" t="s">
        <v>46</v>
      </c>
    </row>
    <row r="106" spans="1:31" ht="25.5" x14ac:dyDescent="0.2">
      <c r="A106" s="5" t="str">
        <f>HYPERLINK("http://www.patentics.cn/invokexml.do?sf=ShowPatent&amp;spn=CN103359379&amp;sv=56c4ce8fb71bd3f76e8604eada4b8d45","CN103359379")</f>
        <v>CN103359379</v>
      </c>
      <c r="B106" s="3" t="s">
        <v>630</v>
      </c>
      <c r="C106" s="3" t="s">
        <v>631</v>
      </c>
      <c r="D106" s="3" t="s">
        <v>49</v>
      </c>
      <c r="E106" s="3" t="s">
        <v>50</v>
      </c>
      <c r="F106" s="3" t="s">
        <v>632</v>
      </c>
      <c r="G106" s="3" t="s">
        <v>633</v>
      </c>
      <c r="H106" s="3" t="s">
        <v>0</v>
      </c>
      <c r="I106" s="3" t="s">
        <v>634</v>
      </c>
      <c r="J106" s="3" t="s">
        <v>635</v>
      </c>
      <c r="K106" s="3" t="s">
        <v>628</v>
      </c>
      <c r="L106" s="3" t="s">
        <v>636</v>
      </c>
      <c r="M106" s="3">
        <v>10</v>
      </c>
      <c r="N106" s="3">
        <v>6</v>
      </c>
      <c r="O106" s="3" t="s">
        <v>75</v>
      </c>
      <c r="P106" s="3" t="s">
        <v>44</v>
      </c>
      <c r="Q106" s="3">
        <v>0</v>
      </c>
      <c r="R106" s="3">
        <v>0</v>
      </c>
      <c r="S106" s="3">
        <v>0</v>
      </c>
      <c r="T106" s="3">
        <v>0</v>
      </c>
      <c r="U106" s="3">
        <v>2</v>
      </c>
      <c r="V106" s="3" t="s">
        <v>637</v>
      </c>
      <c r="W106" s="3">
        <v>0</v>
      </c>
      <c r="X106" s="3">
        <v>2</v>
      </c>
      <c r="Y106" s="3">
        <v>1</v>
      </c>
      <c r="Z106" s="3">
        <v>1</v>
      </c>
      <c r="AA106" s="3">
        <v>0</v>
      </c>
      <c r="AB106" s="3">
        <v>0</v>
      </c>
      <c r="AC106" s="3">
        <v>12</v>
      </c>
      <c r="AD106" s="3" t="s">
        <v>0</v>
      </c>
      <c r="AE106" s="3" t="s">
        <v>46</v>
      </c>
    </row>
    <row r="107" spans="1:31" ht="25.5" x14ac:dyDescent="0.2">
      <c r="A107" s="5" t="str">
        <f>HYPERLINK("http://www.patentics.cn/invokexml.do?sf=ShowPatent&amp;spn=CN202140273&amp;sv=9863d09b1cc23d92f6b5f30e736e0042","CN202140273")</f>
        <v>CN202140273</v>
      </c>
      <c r="B107" s="3" t="s">
        <v>638</v>
      </c>
      <c r="C107" s="3" t="s">
        <v>639</v>
      </c>
      <c r="D107" s="3" t="s">
        <v>49</v>
      </c>
      <c r="E107" s="3" t="s">
        <v>50</v>
      </c>
      <c r="F107" s="3" t="s">
        <v>640</v>
      </c>
      <c r="G107" s="3" t="s">
        <v>640</v>
      </c>
      <c r="H107" s="3" t="s">
        <v>0</v>
      </c>
      <c r="I107" s="3" t="s">
        <v>641</v>
      </c>
      <c r="J107" s="3" t="s">
        <v>642</v>
      </c>
      <c r="K107" s="3" t="s">
        <v>403</v>
      </c>
      <c r="L107" s="3" t="s">
        <v>643</v>
      </c>
      <c r="M107" s="3">
        <v>8</v>
      </c>
      <c r="N107" s="3">
        <v>13</v>
      </c>
      <c r="O107" s="3" t="s">
        <v>55</v>
      </c>
      <c r="P107" s="3" t="s">
        <v>44</v>
      </c>
      <c r="Q107" s="3">
        <v>0</v>
      </c>
      <c r="R107" s="3">
        <v>0</v>
      </c>
      <c r="S107" s="3">
        <v>0</v>
      </c>
      <c r="T107" s="3">
        <v>0</v>
      </c>
      <c r="U107" s="3">
        <v>5</v>
      </c>
      <c r="V107" s="3" t="s">
        <v>644</v>
      </c>
      <c r="W107" s="3">
        <v>3</v>
      </c>
      <c r="X107" s="3">
        <v>2</v>
      </c>
      <c r="Y107" s="3">
        <v>2</v>
      </c>
      <c r="Z107" s="3">
        <v>1</v>
      </c>
      <c r="AA107" s="3">
        <v>0</v>
      </c>
      <c r="AB107" s="3">
        <v>0</v>
      </c>
      <c r="AC107" s="3">
        <v>12</v>
      </c>
      <c r="AD107" s="3" t="s">
        <v>0</v>
      </c>
      <c r="AE107" s="3" t="s">
        <v>46</v>
      </c>
    </row>
    <row r="108" spans="1:31" ht="25.5" x14ac:dyDescent="0.2">
      <c r="A108" s="4" t="str">
        <f>HYPERLINK("http://www.patentics.cn/invokexml.do?sf=ShowPatent&amp;spn=CN203810630&amp;sv=0048fafb81e491e8023070da730aae8d","CN203810630")</f>
        <v>CN203810630</v>
      </c>
      <c r="B108" s="2" t="s">
        <v>652</v>
      </c>
      <c r="C108" s="2" t="s">
        <v>653</v>
      </c>
      <c r="D108" s="2" t="s">
        <v>35</v>
      </c>
      <c r="E108" s="2" t="s">
        <v>36</v>
      </c>
      <c r="F108" s="2" t="s">
        <v>654</v>
      </c>
      <c r="G108" s="2" t="s">
        <v>654</v>
      </c>
      <c r="H108" s="2" t="s">
        <v>0</v>
      </c>
      <c r="I108" s="2" t="s">
        <v>655</v>
      </c>
      <c r="J108" s="2" t="s">
        <v>656</v>
      </c>
      <c r="K108" s="2" t="s">
        <v>41</v>
      </c>
      <c r="L108" s="2" t="s">
        <v>657</v>
      </c>
      <c r="M108" s="2">
        <v>8</v>
      </c>
      <c r="N108" s="2">
        <v>18</v>
      </c>
      <c r="O108" s="2" t="s">
        <v>55</v>
      </c>
      <c r="P108" s="2" t="s">
        <v>44</v>
      </c>
      <c r="Q108" s="2">
        <v>2</v>
      </c>
      <c r="R108" s="2">
        <v>0</v>
      </c>
      <c r="S108" s="2">
        <v>2</v>
      </c>
      <c r="T108" s="2">
        <v>1</v>
      </c>
      <c r="U108" s="2">
        <v>0</v>
      </c>
      <c r="V108" s="2" t="s">
        <v>45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 t="s">
        <v>0</v>
      </c>
      <c r="AD108" s="2">
        <v>2</v>
      </c>
      <c r="AE108" s="2" t="s">
        <v>46</v>
      </c>
    </row>
    <row r="109" spans="1:31" ht="63.75" x14ac:dyDescent="0.2">
      <c r="A109" s="5" t="str">
        <f>HYPERLINK("http://www.patentics.cn/invokexml.do?sf=ShowPatent&amp;spn=CN101749823&amp;sv=62ca8c1544fbec30824d6882186cd151","CN101749823")</f>
        <v>CN101749823</v>
      </c>
      <c r="B109" s="3" t="s">
        <v>658</v>
      </c>
      <c r="C109" s="3" t="s">
        <v>659</v>
      </c>
      <c r="D109" s="3" t="s">
        <v>49</v>
      </c>
      <c r="E109" s="3" t="s">
        <v>50</v>
      </c>
      <c r="F109" s="3" t="s">
        <v>660</v>
      </c>
      <c r="G109" s="3" t="s">
        <v>52</v>
      </c>
      <c r="H109" s="3" t="s">
        <v>661</v>
      </c>
      <c r="I109" s="3" t="s">
        <v>661</v>
      </c>
      <c r="J109" s="3" t="s">
        <v>662</v>
      </c>
      <c r="K109" s="3" t="s">
        <v>41</v>
      </c>
      <c r="L109" s="3" t="s">
        <v>663</v>
      </c>
      <c r="M109" s="3">
        <v>10</v>
      </c>
      <c r="N109" s="3">
        <v>12</v>
      </c>
      <c r="O109" s="3" t="s">
        <v>75</v>
      </c>
      <c r="P109" s="3" t="s">
        <v>44</v>
      </c>
      <c r="Q109" s="3">
        <v>1</v>
      </c>
      <c r="R109" s="3">
        <v>0</v>
      </c>
      <c r="S109" s="3">
        <v>1</v>
      </c>
      <c r="T109" s="3">
        <v>1</v>
      </c>
      <c r="U109" s="3">
        <v>2</v>
      </c>
      <c r="V109" s="3" t="s">
        <v>664</v>
      </c>
      <c r="W109" s="3">
        <v>0</v>
      </c>
      <c r="X109" s="3">
        <v>2</v>
      </c>
      <c r="Y109" s="3">
        <v>2</v>
      </c>
      <c r="Z109" s="3">
        <v>2</v>
      </c>
      <c r="AA109" s="3">
        <v>1</v>
      </c>
      <c r="AB109" s="3">
        <v>1</v>
      </c>
      <c r="AC109" s="3">
        <v>12</v>
      </c>
      <c r="AD109" s="3" t="s">
        <v>0</v>
      </c>
      <c r="AE109" s="3" t="s">
        <v>46</v>
      </c>
    </row>
    <row r="110" spans="1:31" ht="25.5" x14ac:dyDescent="0.2">
      <c r="A110" s="5" t="str">
        <f>HYPERLINK("http://www.patentics.cn/invokexml.do?sf=ShowPatent&amp;spn=CN202675548&amp;sv=745e45473b81fff16a2a18be49138d52","CN202675548")</f>
        <v>CN202675548</v>
      </c>
      <c r="B110" s="3" t="s">
        <v>665</v>
      </c>
      <c r="C110" s="3" t="s">
        <v>666</v>
      </c>
      <c r="D110" s="3" t="s">
        <v>49</v>
      </c>
      <c r="E110" s="3" t="s">
        <v>50</v>
      </c>
      <c r="F110" s="3" t="s">
        <v>667</v>
      </c>
      <c r="G110" s="3" t="s">
        <v>668</v>
      </c>
      <c r="H110" s="3" t="s">
        <v>0</v>
      </c>
      <c r="I110" s="3" t="s">
        <v>669</v>
      </c>
      <c r="J110" s="3" t="s">
        <v>670</v>
      </c>
      <c r="K110" s="3" t="s">
        <v>41</v>
      </c>
      <c r="L110" s="3" t="s">
        <v>671</v>
      </c>
      <c r="M110" s="3">
        <v>8</v>
      </c>
      <c r="N110" s="3">
        <v>6</v>
      </c>
      <c r="O110" s="3" t="s">
        <v>55</v>
      </c>
      <c r="P110" s="3" t="s">
        <v>44</v>
      </c>
      <c r="Q110" s="3">
        <v>0</v>
      </c>
      <c r="R110" s="3">
        <v>0</v>
      </c>
      <c r="S110" s="3">
        <v>0</v>
      </c>
      <c r="T110" s="3">
        <v>0</v>
      </c>
      <c r="U110" s="3">
        <v>1</v>
      </c>
      <c r="V110" s="3" t="s">
        <v>56</v>
      </c>
      <c r="W110" s="3">
        <v>0</v>
      </c>
      <c r="X110" s="3">
        <v>1</v>
      </c>
      <c r="Y110" s="3">
        <v>1</v>
      </c>
      <c r="Z110" s="3">
        <v>1</v>
      </c>
      <c r="AA110" s="3">
        <v>0</v>
      </c>
      <c r="AB110" s="3">
        <v>0</v>
      </c>
      <c r="AC110" s="3">
        <v>12</v>
      </c>
      <c r="AD110" s="3" t="s">
        <v>0</v>
      </c>
      <c r="AE110" s="3" t="s">
        <v>46</v>
      </c>
    </row>
    <row r="111" spans="1:31" ht="25.5" x14ac:dyDescent="0.2">
      <c r="A111" s="4" t="str">
        <f>HYPERLINK("http://www.patentics.cn/invokexml.do?sf=ShowPatent&amp;spn=CN103984338B&amp;sv=7c300bc3daa356ce56dcfd22046f1adc","CN103984338B")</f>
        <v>CN103984338B</v>
      </c>
      <c r="B111" s="2" t="s">
        <v>672</v>
      </c>
      <c r="C111" s="2" t="s">
        <v>673</v>
      </c>
      <c r="D111" s="2" t="s">
        <v>674</v>
      </c>
      <c r="E111" s="2" t="s">
        <v>36</v>
      </c>
      <c r="F111" s="2" t="s">
        <v>675</v>
      </c>
      <c r="G111" s="2" t="s">
        <v>676</v>
      </c>
      <c r="H111" s="2" t="s">
        <v>0</v>
      </c>
      <c r="I111" s="2" t="s">
        <v>677</v>
      </c>
      <c r="J111" s="2" t="s">
        <v>678</v>
      </c>
      <c r="K111" s="2" t="s">
        <v>679</v>
      </c>
      <c r="L111" s="2" t="s">
        <v>680</v>
      </c>
      <c r="M111" s="2">
        <v>4</v>
      </c>
      <c r="N111" s="2">
        <v>78</v>
      </c>
      <c r="O111" s="2" t="s">
        <v>43</v>
      </c>
      <c r="P111" s="2" t="s">
        <v>44</v>
      </c>
      <c r="Q111" s="2">
        <v>1</v>
      </c>
      <c r="R111" s="2">
        <v>0</v>
      </c>
      <c r="S111" s="2">
        <v>1</v>
      </c>
      <c r="T111" s="2">
        <v>1</v>
      </c>
      <c r="U111" s="2">
        <v>0</v>
      </c>
      <c r="V111" s="2" t="s">
        <v>45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 t="s">
        <v>0</v>
      </c>
      <c r="AD111" s="2">
        <v>1</v>
      </c>
      <c r="AE111" s="2" t="s">
        <v>46</v>
      </c>
    </row>
    <row r="112" spans="1:31" ht="63.75" x14ac:dyDescent="0.2">
      <c r="A112" s="5" t="str">
        <f>HYPERLINK("http://www.patentics.cn/invokexml.do?sf=ShowPatent&amp;spn=CN101113942&amp;sv=3aa1d3cd31eb8c55631bcaa4477df9bc","CN101113942")</f>
        <v>CN101113942</v>
      </c>
      <c r="B112" s="3" t="s">
        <v>681</v>
      </c>
      <c r="C112" s="3" t="s">
        <v>682</v>
      </c>
      <c r="D112" s="3" t="s">
        <v>49</v>
      </c>
      <c r="E112" s="3" t="s">
        <v>50</v>
      </c>
      <c r="F112" s="3" t="s">
        <v>683</v>
      </c>
      <c r="G112" s="3" t="s">
        <v>684</v>
      </c>
      <c r="H112" s="3" t="s">
        <v>0</v>
      </c>
      <c r="I112" s="3" t="s">
        <v>685</v>
      </c>
      <c r="J112" s="3" t="s">
        <v>686</v>
      </c>
      <c r="K112" s="3" t="s">
        <v>687</v>
      </c>
      <c r="L112" s="3" t="s">
        <v>688</v>
      </c>
      <c r="M112" s="3">
        <v>17</v>
      </c>
      <c r="N112" s="3">
        <v>25</v>
      </c>
      <c r="O112" s="3" t="s">
        <v>75</v>
      </c>
      <c r="P112" s="3" t="s">
        <v>44</v>
      </c>
      <c r="Q112" s="3">
        <v>2</v>
      </c>
      <c r="R112" s="3">
        <v>0</v>
      </c>
      <c r="S112" s="3">
        <v>2</v>
      </c>
      <c r="T112" s="3">
        <v>2</v>
      </c>
      <c r="U112" s="3">
        <v>5</v>
      </c>
      <c r="V112" s="3" t="s">
        <v>689</v>
      </c>
      <c r="W112" s="3">
        <v>3</v>
      </c>
      <c r="X112" s="3">
        <v>2</v>
      </c>
      <c r="Y112" s="3">
        <v>2</v>
      </c>
      <c r="Z112" s="3">
        <v>1</v>
      </c>
      <c r="AA112" s="3">
        <v>0</v>
      </c>
      <c r="AB112" s="3">
        <v>0</v>
      </c>
      <c r="AC112" s="3">
        <v>12</v>
      </c>
      <c r="AD112" s="3" t="s">
        <v>0</v>
      </c>
      <c r="AE112" s="3" t="s">
        <v>302</v>
      </c>
    </row>
    <row r="113" spans="1:31" ht="25.5" x14ac:dyDescent="0.2">
      <c r="A113" s="4" t="str">
        <f>HYPERLINK("http://www.patentics.cn/invokexml.do?sf=ShowPatent&amp;spn=CN103868155B&amp;sv=236381d0b1952e1a49ec2d5bdbfaf4b8","CN103868155B")</f>
        <v>CN103868155B</v>
      </c>
      <c r="B113" s="2" t="s">
        <v>690</v>
      </c>
      <c r="C113" s="2" t="s">
        <v>504</v>
      </c>
      <c r="D113" s="2" t="s">
        <v>35</v>
      </c>
      <c r="E113" s="2" t="s">
        <v>36</v>
      </c>
      <c r="F113" s="2" t="s">
        <v>691</v>
      </c>
      <c r="G113" s="2" t="s">
        <v>654</v>
      </c>
      <c r="H113" s="2" t="s">
        <v>0</v>
      </c>
      <c r="I113" s="2" t="s">
        <v>692</v>
      </c>
      <c r="J113" s="2" t="s">
        <v>693</v>
      </c>
      <c r="K113" s="2" t="s">
        <v>41</v>
      </c>
      <c r="L113" s="2" t="s">
        <v>42</v>
      </c>
      <c r="M113" s="2">
        <v>9</v>
      </c>
      <c r="N113" s="2">
        <v>17</v>
      </c>
      <c r="O113" s="2" t="s">
        <v>43</v>
      </c>
      <c r="P113" s="2" t="s">
        <v>44</v>
      </c>
      <c r="Q113" s="2">
        <v>1</v>
      </c>
      <c r="R113" s="2">
        <v>0</v>
      </c>
      <c r="S113" s="2">
        <v>1</v>
      </c>
      <c r="T113" s="2">
        <v>1</v>
      </c>
      <c r="U113" s="2">
        <v>0</v>
      </c>
      <c r="V113" s="2" t="s">
        <v>45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 t="s">
        <v>0</v>
      </c>
      <c r="AD113" s="2">
        <v>1</v>
      </c>
      <c r="AE113" s="2" t="s">
        <v>46</v>
      </c>
    </row>
    <row r="114" spans="1:31" ht="76.5" x14ac:dyDescent="0.2">
      <c r="A114" s="5" t="str">
        <f>HYPERLINK("http://www.patentics.cn/invokexml.do?sf=ShowPatent&amp;spn=CN102478298&amp;sv=96e93d0fd51e6b7b19687ef998ce9181","CN102478298")</f>
        <v>CN102478298</v>
      </c>
      <c r="B114" s="3" t="s">
        <v>694</v>
      </c>
      <c r="C114" s="3" t="s">
        <v>504</v>
      </c>
      <c r="D114" s="3" t="s">
        <v>49</v>
      </c>
      <c r="E114" s="3" t="s">
        <v>50</v>
      </c>
      <c r="F114" s="3" t="s">
        <v>695</v>
      </c>
      <c r="G114" s="3" t="s">
        <v>52</v>
      </c>
      <c r="H114" s="3" t="s">
        <v>696</v>
      </c>
      <c r="I114" s="3" t="s">
        <v>696</v>
      </c>
      <c r="J114" s="3" t="s">
        <v>697</v>
      </c>
      <c r="K114" s="3" t="s">
        <v>41</v>
      </c>
      <c r="L114" s="3" t="s">
        <v>671</v>
      </c>
      <c r="M114" s="3">
        <v>10</v>
      </c>
      <c r="N114" s="3">
        <v>7</v>
      </c>
      <c r="O114" s="3" t="s">
        <v>75</v>
      </c>
      <c r="P114" s="3" t="s">
        <v>44</v>
      </c>
      <c r="Q114" s="3">
        <v>0</v>
      </c>
      <c r="R114" s="3">
        <v>0</v>
      </c>
      <c r="S114" s="3">
        <v>0</v>
      </c>
      <c r="T114" s="3">
        <v>0</v>
      </c>
      <c r="U114" s="3">
        <v>3</v>
      </c>
      <c r="V114" s="3" t="s">
        <v>698</v>
      </c>
      <c r="W114" s="3">
        <v>0</v>
      </c>
      <c r="X114" s="3">
        <v>3</v>
      </c>
      <c r="Y114" s="3">
        <v>1</v>
      </c>
      <c r="Z114" s="3">
        <v>1</v>
      </c>
      <c r="AA114" s="3">
        <v>1</v>
      </c>
      <c r="AB114" s="3">
        <v>1</v>
      </c>
      <c r="AC114" s="3">
        <v>12</v>
      </c>
      <c r="AD114" s="3" t="s">
        <v>0</v>
      </c>
      <c r="AE114" s="3" t="s">
        <v>46</v>
      </c>
    </row>
    <row r="115" spans="1:31" ht="38.25" x14ac:dyDescent="0.2">
      <c r="A115" s="4" t="str">
        <f>HYPERLINK("http://www.patentics.cn/invokexml.do?sf=ShowPatent&amp;spn=CN103234257B&amp;sv=30b88061ef7d0f31ca24647df567cecc","CN103234257B")</f>
        <v>CN103234257B</v>
      </c>
      <c r="B115" s="2" t="s">
        <v>699</v>
      </c>
      <c r="C115" s="2" t="s">
        <v>700</v>
      </c>
      <c r="D115" s="2" t="s">
        <v>35</v>
      </c>
      <c r="E115" s="2" t="s">
        <v>36</v>
      </c>
      <c r="F115" s="2" t="s">
        <v>701</v>
      </c>
      <c r="G115" s="2" t="s">
        <v>702</v>
      </c>
      <c r="H115" s="2" t="s">
        <v>0</v>
      </c>
      <c r="I115" s="2" t="s">
        <v>383</v>
      </c>
      <c r="J115" s="2" t="s">
        <v>703</v>
      </c>
      <c r="K115" s="2" t="s">
        <v>41</v>
      </c>
      <c r="L115" s="2" t="s">
        <v>84</v>
      </c>
      <c r="M115" s="2">
        <v>7</v>
      </c>
      <c r="N115" s="2">
        <v>30</v>
      </c>
      <c r="O115" s="2" t="s">
        <v>43</v>
      </c>
      <c r="P115" s="2" t="s">
        <v>44</v>
      </c>
      <c r="Q115" s="2">
        <v>1</v>
      </c>
      <c r="R115" s="2">
        <v>0</v>
      </c>
      <c r="S115" s="2">
        <v>1</v>
      </c>
      <c r="T115" s="2">
        <v>1</v>
      </c>
      <c r="U115" s="2">
        <v>0</v>
      </c>
      <c r="V115" s="2" t="s">
        <v>45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 t="s">
        <v>0</v>
      </c>
      <c r="AD115" s="2">
        <v>1</v>
      </c>
      <c r="AE115" s="2" t="s">
        <v>46</v>
      </c>
    </row>
    <row r="116" spans="1:31" ht="51" x14ac:dyDescent="0.2">
      <c r="A116" s="5" t="str">
        <f>HYPERLINK("http://www.patentics.cn/invokexml.do?sf=ShowPatent&amp;spn=CN102032642&amp;sv=108a1d63b635c81e249c34e28464dd95","CN102032642")</f>
        <v>CN102032642</v>
      </c>
      <c r="B116" s="3" t="s">
        <v>704</v>
      </c>
      <c r="C116" s="3" t="s">
        <v>705</v>
      </c>
      <c r="D116" s="3" t="s">
        <v>49</v>
      </c>
      <c r="E116" s="3" t="s">
        <v>50</v>
      </c>
      <c r="F116" s="3" t="s">
        <v>706</v>
      </c>
      <c r="G116" s="3" t="s">
        <v>506</v>
      </c>
      <c r="H116" s="3" t="s">
        <v>707</v>
      </c>
      <c r="I116" s="3" t="s">
        <v>707</v>
      </c>
      <c r="J116" s="3" t="s">
        <v>708</v>
      </c>
      <c r="K116" s="3" t="s">
        <v>41</v>
      </c>
      <c r="L116" s="3" t="s">
        <v>84</v>
      </c>
      <c r="M116" s="3">
        <v>9</v>
      </c>
      <c r="N116" s="3">
        <v>19</v>
      </c>
      <c r="O116" s="3" t="s">
        <v>75</v>
      </c>
      <c r="P116" s="3" t="s">
        <v>44</v>
      </c>
      <c r="Q116" s="3">
        <v>0</v>
      </c>
      <c r="R116" s="3">
        <v>0</v>
      </c>
      <c r="S116" s="3">
        <v>0</v>
      </c>
      <c r="T116" s="3">
        <v>0</v>
      </c>
      <c r="U116" s="3">
        <v>5</v>
      </c>
      <c r="V116" s="3" t="s">
        <v>709</v>
      </c>
      <c r="W116" s="3">
        <v>1</v>
      </c>
      <c r="X116" s="3">
        <v>4</v>
      </c>
      <c r="Y116" s="3">
        <v>2</v>
      </c>
      <c r="Z116" s="3">
        <v>1</v>
      </c>
      <c r="AA116" s="3">
        <v>1</v>
      </c>
      <c r="AB116" s="3">
        <v>1</v>
      </c>
      <c r="AC116" s="3">
        <v>12</v>
      </c>
      <c r="AD116" s="3" t="s">
        <v>0</v>
      </c>
      <c r="AE116" s="3" t="s">
        <v>46</v>
      </c>
    </row>
    <row r="117" spans="1:31" ht="25.5" x14ac:dyDescent="0.2">
      <c r="A117" s="4" t="str">
        <f>HYPERLINK("http://www.patentics.cn/invokexml.do?sf=ShowPatent&amp;spn=CN103322661B&amp;sv=4d45ca38a2a416f4933542d2ffdc64f4","CN103322661B")</f>
        <v>CN103322661B</v>
      </c>
      <c r="B117" s="2" t="s">
        <v>710</v>
      </c>
      <c r="C117" s="2" t="s">
        <v>711</v>
      </c>
      <c r="D117" s="2" t="s">
        <v>35</v>
      </c>
      <c r="E117" s="2" t="s">
        <v>36</v>
      </c>
      <c r="F117" s="2" t="s">
        <v>712</v>
      </c>
      <c r="G117" s="2" t="s">
        <v>713</v>
      </c>
      <c r="H117" s="2" t="s">
        <v>0</v>
      </c>
      <c r="I117" s="2" t="s">
        <v>714</v>
      </c>
      <c r="J117" s="2" t="s">
        <v>715</v>
      </c>
      <c r="K117" s="2" t="s">
        <v>41</v>
      </c>
      <c r="L117" s="2" t="s">
        <v>69</v>
      </c>
      <c r="M117" s="2">
        <v>11</v>
      </c>
      <c r="N117" s="2">
        <v>18</v>
      </c>
      <c r="O117" s="2" t="s">
        <v>43</v>
      </c>
      <c r="P117" s="2" t="s">
        <v>44</v>
      </c>
      <c r="Q117" s="2">
        <v>1</v>
      </c>
      <c r="R117" s="2">
        <v>0</v>
      </c>
      <c r="S117" s="2">
        <v>1</v>
      </c>
      <c r="T117" s="2">
        <v>1</v>
      </c>
      <c r="U117" s="2">
        <v>0</v>
      </c>
      <c r="V117" s="2" t="s">
        <v>45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 t="s">
        <v>0</v>
      </c>
      <c r="AD117" s="2">
        <v>1</v>
      </c>
      <c r="AE117" s="2" t="s">
        <v>46</v>
      </c>
    </row>
    <row r="118" spans="1:31" ht="51" x14ac:dyDescent="0.2">
      <c r="A118" s="5" t="str">
        <f>HYPERLINK("http://www.patentics.cn/invokexml.do?sf=ShowPatent&amp;spn=CN101846381&amp;sv=a61cf9e8929c721f8fac95b5366be972","CN101846381")</f>
        <v>CN101846381</v>
      </c>
      <c r="B118" s="3" t="s">
        <v>716</v>
      </c>
      <c r="C118" s="3" t="s">
        <v>717</v>
      </c>
      <c r="D118" s="3" t="s">
        <v>49</v>
      </c>
      <c r="E118" s="3" t="s">
        <v>50</v>
      </c>
      <c r="F118" s="3" t="s">
        <v>718</v>
      </c>
      <c r="G118" s="3" t="s">
        <v>52</v>
      </c>
      <c r="H118" s="3" t="s">
        <v>719</v>
      </c>
      <c r="I118" s="3" t="s">
        <v>719</v>
      </c>
      <c r="J118" s="3" t="s">
        <v>720</v>
      </c>
      <c r="K118" s="3" t="s">
        <v>41</v>
      </c>
      <c r="L118" s="3" t="s">
        <v>69</v>
      </c>
      <c r="M118" s="3">
        <v>10</v>
      </c>
      <c r="N118" s="3">
        <v>3</v>
      </c>
      <c r="O118" s="3" t="s">
        <v>75</v>
      </c>
      <c r="P118" s="3" t="s">
        <v>44</v>
      </c>
      <c r="Q118" s="3">
        <v>0</v>
      </c>
      <c r="R118" s="3">
        <v>0</v>
      </c>
      <c r="S118" s="3">
        <v>0</v>
      </c>
      <c r="T118" s="3">
        <v>0</v>
      </c>
      <c r="U118" s="3">
        <v>1</v>
      </c>
      <c r="V118" s="3" t="s">
        <v>553</v>
      </c>
      <c r="W118" s="3">
        <v>0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12</v>
      </c>
      <c r="AD118" s="3" t="s">
        <v>0</v>
      </c>
      <c r="AE118" s="3" t="s">
        <v>46</v>
      </c>
    </row>
    <row r="119" spans="1:31" ht="38.25" x14ac:dyDescent="0.2">
      <c r="A119" s="4" t="str">
        <f>HYPERLINK("http://www.patentics.cn/invokexml.do?sf=ShowPatent&amp;spn=CN103994561B&amp;sv=09afa06bac15d11226eba312d6bc99df","CN103994561B")</f>
        <v>CN103994561B</v>
      </c>
      <c r="B119" s="2" t="s">
        <v>721</v>
      </c>
      <c r="C119" s="2" t="s">
        <v>722</v>
      </c>
      <c r="D119" s="2" t="s">
        <v>723</v>
      </c>
      <c r="E119" s="2" t="s">
        <v>624</v>
      </c>
      <c r="F119" s="2" t="s">
        <v>724</v>
      </c>
      <c r="G119" s="2" t="s">
        <v>725</v>
      </c>
      <c r="H119" s="2" t="s">
        <v>0</v>
      </c>
      <c r="I119" s="2" t="s">
        <v>726</v>
      </c>
      <c r="J119" s="2" t="s">
        <v>727</v>
      </c>
      <c r="K119" s="2" t="s">
        <v>41</v>
      </c>
      <c r="L119" s="2" t="s">
        <v>728</v>
      </c>
      <c r="M119" s="2">
        <v>7</v>
      </c>
      <c r="N119" s="2">
        <v>18</v>
      </c>
      <c r="O119" s="2" t="s">
        <v>43</v>
      </c>
      <c r="P119" s="2" t="s">
        <v>44</v>
      </c>
      <c r="Q119" s="2">
        <v>1</v>
      </c>
      <c r="R119" s="2">
        <v>0</v>
      </c>
      <c r="S119" s="2">
        <v>1</v>
      </c>
      <c r="T119" s="2">
        <v>1</v>
      </c>
      <c r="U119" s="2">
        <v>0</v>
      </c>
      <c r="V119" s="2" t="s">
        <v>45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 t="s">
        <v>0</v>
      </c>
      <c r="AD119" s="2">
        <v>1</v>
      </c>
      <c r="AE119" s="2" t="s">
        <v>46</v>
      </c>
    </row>
    <row r="120" spans="1:31" ht="63.75" x14ac:dyDescent="0.2">
      <c r="A120" s="5" t="str">
        <f>HYPERLINK("http://www.patentics.cn/invokexml.do?sf=ShowPatent&amp;spn=CN101749839&amp;sv=7d3c547332226de13f3996d868f1d78c","CN101749839")</f>
        <v>CN101749839</v>
      </c>
      <c r="B120" s="3" t="s">
        <v>729</v>
      </c>
      <c r="C120" s="3" t="s">
        <v>730</v>
      </c>
      <c r="D120" s="3" t="s">
        <v>49</v>
      </c>
      <c r="E120" s="3" t="s">
        <v>50</v>
      </c>
      <c r="F120" s="3" t="s">
        <v>731</v>
      </c>
      <c r="G120" s="3" t="s">
        <v>88</v>
      </c>
      <c r="H120" s="3" t="s">
        <v>732</v>
      </c>
      <c r="I120" s="3" t="s">
        <v>732</v>
      </c>
      <c r="J120" s="3" t="s">
        <v>662</v>
      </c>
      <c r="K120" s="3" t="s">
        <v>41</v>
      </c>
      <c r="L120" s="3" t="s">
        <v>728</v>
      </c>
      <c r="M120" s="3">
        <v>10</v>
      </c>
      <c r="N120" s="3">
        <v>10</v>
      </c>
      <c r="O120" s="3" t="s">
        <v>75</v>
      </c>
      <c r="P120" s="3" t="s">
        <v>44</v>
      </c>
      <c r="Q120" s="3">
        <v>1</v>
      </c>
      <c r="R120" s="3">
        <v>0</v>
      </c>
      <c r="S120" s="3">
        <v>1</v>
      </c>
      <c r="T120" s="3">
        <v>1</v>
      </c>
      <c r="U120" s="3">
        <v>6</v>
      </c>
      <c r="V120" s="3" t="s">
        <v>733</v>
      </c>
      <c r="W120" s="3">
        <v>0</v>
      </c>
      <c r="X120" s="3">
        <v>6</v>
      </c>
      <c r="Y120" s="3">
        <v>2</v>
      </c>
      <c r="Z120" s="3">
        <v>1</v>
      </c>
      <c r="AA120" s="3">
        <v>1</v>
      </c>
      <c r="AB120" s="3">
        <v>1</v>
      </c>
      <c r="AC120" s="3">
        <v>12</v>
      </c>
      <c r="AD120" s="3" t="s">
        <v>0</v>
      </c>
      <c r="AE120" s="3" t="s">
        <v>57</v>
      </c>
    </row>
    <row r="121" spans="1:31" ht="38.25" x14ac:dyDescent="0.2">
      <c r="A121" s="4" t="str">
        <f>HYPERLINK("http://www.patentics.cn/invokexml.do?sf=ShowPatent&amp;spn=CN104165486B&amp;sv=32acf61a9885378cf23ef024048dd6b3","CN104165486B")</f>
        <v>CN104165486B</v>
      </c>
      <c r="B121" s="2" t="s">
        <v>734</v>
      </c>
      <c r="C121" s="2" t="s">
        <v>735</v>
      </c>
      <c r="D121" s="2" t="s">
        <v>736</v>
      </c>
      <c r="E121" s="2" t="s">
        <v>624</v>
      </c>
      <c r="F121" s="2" t="s">
        <v>737</v>
      </c>
      <c r="G121" s="2" t="s">
        <v>738</v>
      </c>
      <c r="H121" s="2" t="s">
        <v>0</v>
      </c>
      <c r="I121" s="2" t="s">
        <v>739</v>
      </c>
      <c r="J121" s="2" t="s">
        <v>740</v>
      </c>
      <c r="K121" s="2" t="s">
        <v>347</v>
      </c>
      <c r="L121" s="2" t="s">
        <v>741</v>
      </c>
      <c r="M121" s="2">
        <v>14</v>
      </c>
      <c r="N121" s="2">
        <v>15</v>
      </c>
      <c r="O121" s="2" t="s">
        <v>43</v>
      </c>
      <c r="P121" s="2" t="s">
        <v>44</v>
      </c>
      <c r="Q121" s="2">
        <v>1</v>
      </c>
      <c r="R121" s="2">
        <v>0</v>
      </c>
      <c r="S121" s="2">
        <v>1</v>
      </c>
      <c r="T121" s="2">
        <v>1</v>
      </c>
      <c r="U121" s="2">
        <v>0</v>
      </c>
      <c r="V121" s="2" t="s">
        <v>45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 t="s">
        <v>0</v>
      </c>
      <c r="AD121" s="2">
        <v>1</v>
      </c>
      <c r="AE121" s="2" t="s">
        <v>46</v>
      </c>
    </row>
    <row r="122" spans="1:31" ht="38.25" x14ac:dyDescent="0.2">
      <c r="A122" s="5" t="str">
        <f>HYPERLINK("http://www.patentics.cn/invokexml.do?sf=ShowPatent&amp;spn=CN1508499&amp;sv=3df87dc4f869698e87710acbf7c6bd58","CN1508499")</f>
        <v>CN1508499</v>
      </c>
      <c r="B122" s="3" t="s">
        <v>560</v>
      </c>
      <c r="C122" s="3" t="s">
        <v>561</v>
      </c>
      <c r="D122" s="3" t="s">
        <v>49</v>
      </c>
      <c r="E122" s="3" t="s">
        <v>50</v>
      </c>
      <c r="F122" s="3" t="s">
        <v>562</v>
      </c>
      <c r="G122" s="3" t="s">
        <v>563</v>
      </c>
      <c r="H122" s="3" t="s">
        <v>564</v>
      </c>
      <c r="I122" s="3" t="s">
        <v>564</v>
      </c>
      <c r="J122" s="3" t="s">
        <v>565</v>
      </c>
      <c r="K122" s="3" t="s">
        <v>347</v>
      </c>
      <c r="L122" s="3" t="s">
        <v>566</v>
      </c>
      <c r="M122" s="3">
        <v>8</v>
      </c>
      <c r="N122" s="3">
        <v>13</v>
      </c>
      <c r="O122" s="3" t="s">
        <v>75</v>
      </c>
      <c r="P122" s="3" t="s">
        <v>44</v>
      </c>
      <c r="Q122" s="3">
        <v>1</v>
      </c>
      <c r="R122" s="3">
        <v>0</v>
      </c>
      <c r="S122" s="3">
        <v>1</v>
      </c>
      <c r="T122" s="3">
        <v>1</v>
      </c>
      <c r="U122" s="3">
        <v>8</v>
      </c>
      <c r="V122" s="3" t="s">
        <v>567</v>
      </c>
      <c r="W122" s="3">
        <v>1</v>
      </c>
      <c r="X122" s="3">
        <v>7</v>
      </c>
      <c r="Y122" s="3">
        <v>6</v>
      </c>
      <c r="Z122" s="3">
        <v>1</v>
      </c>
      <c r="AA122" s="3">
        <v>1</v>
      </c>
      <c r="AB122" s="3">
        <v>1</v>
      </c>
      <c r="AC122" s="3">
        <v>12</v>
      </c>
      <c r="AD122" s="3" t="s">
        <v>0</v>
      </c>
      <c r="AE122" s="3" t="s">
        <v>46</v>
      </c>
    </row>
    <row r="123" spans="1:31" ht="25.5" x14ac:dyDescent="0.2">
      <c r="A123" s="4" t="str">
        <f>HYPERLINK("http://www.patentics.cn/invokexml.do?sf=ShowPatent&amp;spn=CN104006499B&amp;sv=4d9baa26524a162ff8d31ed730eef5b6","CN104006499B")</f>
        <v>CN104006499B</v>
      </c>
      <c r="B123" s="2" t="s">
        <v>742</v>
      </c>
      <c r="C123" s="2" t="s">
        <v>743</v>
      </c>
      <c r="D123" s="2" t="s">
        <v>79</v>
      </c>
      <c r="E123" s="2" t="s">
        <v>36</v>
      </c>
      <c r="F123" s="2" t="s">
        <v>744</v>
      </c>
      <c r="G123" s="2" t="s">
        <v>745</v>
      </c>
      <c r="H123" s="2" t="s">
        <v>0</v>
      </c>
      <c r="I123" s="2" t="s">
        <v>746</v>
      </c>
      <c r="J123" s="2" t="s">
        <v>747</v>
      </c>
      <c r="K123" s="2" t="s">
        <v>41</v>
      </c>
      <c r="L123" s="2" t="s">
        <v>84</v>
      </c>
      <c r="M123" s="2">
        <v>10</v>
      </c>
      <c r="N123" s="2">
        <v>23</v>
      </c>
      <c r="O123" s="2" t="s">
        <v>43</v>
      </c>
      <c r="P123" s="2" t="s">
        <v>44</v>
      </c>
      <c r="Q123" s="2">
        <v>1</v>
      </c>
      <c r="R123" s="2">
        <v>0</v>
      </c>
      <c r="S123" s="2">
        <v>1</v>
      </c>
      <c r="T123" s="2">
        <v>1</v>
      </c>
      <c r="U123" s="2">
        <v>0</v>
      </c>
      <c r="V123" s="2" t="s">
        <v>45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 t="s">
        <v>0</v>
      </c>
      <c r="AD123" s="2">
        <v>1</v>
      </c>
      <c r="AE123" s="2" t="s">
        <v>46</v>
      </c>
    </row>
    <row r="124" spans="1:31" ht="38.25" x14ac:dyDescent="0.2">
      <c r="A124" s="5" t="str">
        <f>HYPERLINK("http://www.patentics.cn/invokexml.do?sf=ShowPatent&amp;spn=CN101240931&amp;sv=a8d066052e9c7ba962cf7527e67203f6","CN101240931")</f>
        <v>CN101240931</v>
      </c>
      <c r="B124" s="3" t="s">
        <v>748</v>
      </c>
      <c r="C124" s="3" t="s">
        <v>749</v>
      </c>
      <c r="D124" s="3" t="s">
        <v>49</v>
      </c>
      <c r="E124" s="3" t="s">
        <v>50</v>
      </c>
      <c r="F124" s="3" t="s">
        <v>750</v>
      </c>
      <c r="G124" s="3" t="s">
        <v>88</v>
      </c>
      <c r="H124" s="3" t="s">
        <v>751</v>
      </c>
      <c r="I124" s="3" t="s">
        <v>751</v>
      </c>
      <c r="J124" s="3" t="s">
        <v>488</v>
      </c>
      <c r="K124" s="3" t="s">
        <v>41</v>
      </c>
      <c r="L124" s="3" t="s">
        <v>84</v>
      </c>
      <c r="M124" s="3">
        <v>12</v>
      </c>
      <c r="N124" s="3">
        <v>10</v>
      </c>
      <c r="O124" s="3" t="s">
        <v>75</v>
      </c>
      <c r="P124" s="3" t="s">
        <v>44</v>
      </c>
      <c r="Q124" s="3">
        <v>0</v>
      </c>
      <c r="R124" s="3">
        <v>0</v>
      </c>
      <c r="S124" s="3">
        <v>0</v>
      </c>
      <c r="T124" s="3">
        <v>0</v>
      </c>
      <c r="U124" s="3">
        <v>4</v>
      </c>
      <c r="V124" s="3" t="s">
        <v>752</v>
      </c>
      <c r="W124" s="3">
        <v>0</v>
      </c>
      <c r="X124" s="3">
        <v>4</v>
      </c>
      <c r="Y124" s="3">
        <v>4</v>
      </c>
      <c r="Z124" s="3">
        <v>1</v>
      </c>
      <c r="AA124" s="3">
        <v>1</v>
      </c>
      <c r="AB124" s="3">
        <v>1</v>
      </c>
      <c r="AC124" s="3">
        <v>12</v>
      </c>
      <c r="AD124" s="3" t="s">
        <v>0</v>
      </c>
      <c r="AE124" s="3" t="s">
        <v>46</v>
      </c>
    </row>
    <row r="125" spans="1:31" ht="38.25" x14ac:dyDescent="0.2">
      <c r="A125" s="4" t="str">
        <f>HYPERLINK("http://www.patentics.cn/invokexml.do?sf=ShowPatent&amp;spn=CN104089442B&amp;sv=9cee8bb91135732401a1aa1f5eb1c845","CN104089442B")</f>
        <v>CN104089442B</v>
      </c>
      <c r="B125" s="2" t="s">
        <v>753</v>
      </c>
      <c r="C125" s="2" t="s">
        <v>754</v>
      </c>
      <c r="D125" s="2" t="s">
        <v>755</v>
      </c>
      <c r="E125" s="2" t="s">
        <v>624</v>
      </c>
      <c r="F125" s="2" t="s">
        <v>756</v>
      </c>
      <c r="G125" s="2" t="s">
        <v>757</v>
      </c>
      <c r="H125" s="2" t="s">
        <v>0</v>
      </c>
      <c r="I125" s="2" t="s">
        <v>758</v>
      </c>
      <c r="J125" s="2" t="s">
        <v>747</v>
      </c>
      <c r="K125" s="2" t="s">
        <v>347</v>
      </c>
      <c r="L125" s="2" t="s">
        <v>759</v>
      </c>
      <c r="M125" s="2">
        <v>8</v>
      </c>
      <c r="N125" s="2">
        <v>15</v>
      </c>
      <c r="O125" s="2" t="s">
        <v>43</v>
      </c>
      <c r="P125" s="2" t="s">
        <v>44</v>
      </c>
      <c r="Q125" s="2">
        <v>1</v>
      </c>
      <c r="R125" s="2">
        <v>0</v>
      </c>
      <c r="S125" s="2">
        <v>1</v>
      </c>
      <c r="T125" s="2">
        <v>1</v>
      </c>
      <c r="U125" s="2">
        <v>0</v>
      </c>
      <c r="V125" s="2" t="s">
        <v>45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 t="s">
        <v>0</v>
      </c>
      <c r="AD125" s="2">
        <v>1</v>
      </c>
      <c r="AE125" s="2" t="s">
        <v>46</v>
      </c>
    </row>
    <row r="126" spans="1:31" ht="25.5" x14ac:dyDescent="0.2">
      <c r="A126" s="5" t="str">
        <f>HYPERLINK("http://www.patentics.cn/invokexml.do?sf=ShowPatent&amp;spn=CN103388940&amp;sv=012f322e1615ed3055d7dcf975254fcf","CN103388940")</f>
        <v>CN103388940</v>
      </c>
      <c r="B126" s="3" t="s">
        <v>760</v>
      </c>
      <c r="C126" s="3" t="s">
        <v>761</v>
      </c>
      <c r="D126" s="3" t="s">
        <v>49</v>
      </c>
      <c r="E126" s="3" t="s">
        <v>50</v>
      </c>
      <c r="F126" s="3" t="s">
        <v>762</v>
      </c>
      <c r="G126" s="3" t="s">
        <v>763</v>
      </c>
      <c r="H126" s="3" t="s">
        <v>0</v>
      </c>
      <c r="I126" s="3" t="s">
        <v>764</v>
      </c>
      <c r="J126" s="3" t="s">
        <v>765</v>
      </c>
      <c r="K126" s="3" t="s">
        <v>347</v>
      </c>
      <c r="L126" s="3" t="s">
        <v>759</v>
      </c>
      <c r="M126" s="3">
        <v>19</v>
      </c>
      <c r="N126" s="3">
        <v>12</v>
      </c>
      <c r="O126" s="3" t="s">
        <v>75</v>
      </c>
      <c r="P126" s="3" t="s">
        <v>44</v>
      </c>
      <c r="Q126" s="3">
        <v>0</v>
      </c>
      <c r="R126" s="3">
        <v>0</v>
      </c>
      <c r="S126" s="3">
        <v>0</v>
      </c>
      <c r="T126" s="3">
        <v>0</v>
      </c>
      <c r="U126" s="3">
        <v>1</v>
      </c>
      <c r="V126" s="3" t="s">
        <v>553</v>
      </c>
      <c r="W126" s="3">
        <v>0</v>
      </c>
      <c r="X126" s="3">
        <v>1</v>
      </c>
      <c r="Y126" s="3">
        <v>1</v>
      </c>
      <c r="Z126" s="3">
        <v>1</v>
      </c>
      <c r="AA126" s="3">
        <v>0</v>
      </c>
      <c r="AB126" s="3">
        <v>0</v>
      </c>
      <c r="AC126" s="3">
        <v>12</v>
      </c>
      <c r="AD126" s="3" t="s">
        <v>0</v>
      </c>
      <c r="AE126" s="3" t="s">
        <v>46</v>
      </c>
    </row>
    <row r="127" spans="1:31" ht="38.25" x14ac:dyDescent="0.2">
      <c r="A127" s="4" t="str">
        <f>HYPERLINK("http://www.patentics.cn/invokexml.do?sf=ShowPatent&amp;spn=CN103940138B&amp;sv=6cf4117a1f696678f23fad2663a2ca1e","CN103940138B")</f>
        <v>CN103940138B</v>
      </c>
      <c r="B127" s="2" t="s">
        <v>766</v>
      </c>
      <c r="C127" s="2" t="s">
        <v>767</v>
      </c>
      <c r="D127" s="2" t="s">
        <v>623</v>
      </c>
      <c r="E127" s="2" t="s">
        <v>624</v>
      </c>
      <c r="F127" s="2" t="s">
        <v>768</v>
      </c>
      <c r="G127" s="2" t="s">
        <v>768</v>
      </c>
      <c r="H127" s="2" t="s">
        <v>0</v>
      </c>
      <c r="I127" s="2" t="s">
        <v>769</v>
      </c>
      <c r="J127" s="2" t="s">
        <v>747</v>
      </c>
      <c r="K127" s="2" t="s">
        <v>347</v>
      </c>
      <c r="L127" s="2" t="s">
        <v>482</v>
      </c>
      <c r="M127" s="2">
        <v>10</v>
      </c>
      <c r="N127" s="2">
        <v>19</v>
      </c>
      <c r="O127" s="2" t="s">
        <v>43</v>
      </c>
      <c r="P127" s="2" t="s">
        <v>44</v>
      </c>
      <c r="Q127" s="2">
        <v>1</v>
      </c>
      <c r="R127" s="2">
        <v>0</v>
      </c>
      <c r="S127" s="2">
        <v>1</v>
      </c>
      <c r="T127" s="2">
        <v>1</v>
      </c>
      <c r="U127" s="2">
        <v>0</v>
      </c>
      <c r="V127" s="2" t="s">
        <v>45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 t="s">
        <v>0</v>
      </c>
      <c r="AD127" s="2">
        <v>1</v>
      </c>
      <c r="AE127" s="2" t="s">
        <v>46</v>
      </c>
    </row>
    <row r="128" spans="1:31" ht="38.25" x14ac:dyDescent="0.2">
      <c r="A128" s="5" t="str">
        <f>HYPERLINK("http://www.patentics.cn/invokexml.do?sf=ShowPatent&amp;spn=CN1800747&amp;sv=a5f4a97140a7fa7fe58a736a248d10cc","CN1800747")</f>
        <v>CN1800747</v>
      </c>
      <c r="B128" s="3" t="s">
        <v>770</v>
      </c>
      <c r="C128" s="3" t="s">
        <v>771</v>
      </c>
      <c r="D128" s="3" t="s">
        <v>49</v>
      </c>
      <c r="E128" s="3" t="s">
        <v>50</v>
      </c>
      <c r="F128" s="3" t="s">
        <v>772</v>
      </c>
      <c r="G128" s="3" t="s">
        <v>773</v>
      </c>
      <c r="H128" s="3" t="s">
        <v>774</v>
      </c>
      <c r="I128" s="3" t="s">
        <v>774</v>
      </c>
      <c r="J128" s="3" t="s">
        <v>775</v>
      </c>
      <c r="K128" s="3" t="s">
        <v>347</v>
      </c>
      <c r="L128" s="3" t="s">
        <v>482</v>
      </c>
      <c r="M128" s="3">
        <v>9</v>
      </c>
      <c r="N128" s="3">
        <v>10</v>
      </c>
      <c r="O128" s="3" t="s">
        <v>75</v>
      </c>
      <c r="P128" s="3" t="s">
        <v>44</v>
      </c>
      <c r="Q128" s="3">
        <v>0</v>
      </c>
      <c r="R128" s="3">
        <v>0</v>
      </c>
      <c r="S128" s="3">
        <v>0</v>
      </c>
      <c r="T128" s="3">
        <v>0</v>
      </c>
      <c r="U128" s="3">
        <v>4</v>
      </c>
      <c r="V128" s="3" t="s">
        <v>776</v>
      </c>
      <c r="W128" s="3">
        <v>2</v>
      </c>
      <c r="X128" s="3">
        <v>2</v>
      </c>
      <c r="Y128" s="3">
        <v>3</v>
      </c>
      <c r="Z128" s="3">
        <v>1</v>
      </c>
      <c r="AA128" s="3">
        <v>2</v>
      </c>
      <c r="AB128" s="3">
        <v>2</v>
      </c>
      <c r="AC128" s="3">
        <v>12</v>
      </c>
      <c r="AD128" s="3" t="s">
        <v>0</v>
      </c>
      <c r="AE128" s="3" t="s">
        <v>46</v>
      </c>
    </row>
    <row r="129" spans="1:31" ht="25.5" x14ac:dyDescent="0.2">
      <c r="A129" s="4" t="str">
        <f>HYPERLINK("http://www.patentics.cn/invokexml.do?sf=ShowPatent&amp;spn=CN103807968B&amp;sv=17988f4a064e7f2e362edd8c5f0ba55d","CN103807968B")</f>
        <v>CN103807968B</v>
      </c>
      <c r="B129" s="2" t="s">
        <v>777</v>
      </c>
      <c r="C129" s="2" t="s">
        <v>778</v>
      </c>
      <c r="D129" s="2" t="s">
        <v>35</v>
      </c>
      <c r="E129" s="2" t="s">
        <v>36</v>
      </c>
      <c r="F129" s="2" t="s">
        <v>779</v>
      </c>
      <c r="G129" s="2" t="s">
        <v>780</v>
      </c>
      <c r="H129" s="2" t="s">
        <v>0</v>
      </c>
      <c r="I129" s="2" t="s">
        <v>781</v>
      </c>
      <c r="J129" s="2" t="s">
        <v>747</v>
      </c>
      <c r="K129" s="2" t="s">
        <v>41</v>
      </c>
      <c r="L129" s="2" t="s">
        <v>84</v>
      </c>
      <c r="M129" s="2">
        <v>10</v>
      </c>
      <c r="N129" s="2">
        <v>26</v>
      </c>
      <c r="O129" s="2" t="s">
        <v>43</v>
      </c>
      <c r="P129" s="2" t="s">
        <v>44</v>
      </c>
      <c r="Q129" s="2">
        <v>1</v>
      </c>
      <c r="R129" s="2">
        <v>0</v>
      </c>
      <c r="S129" s="2">
        <v>1</v>
      </c>
      <c r="T129" s="2">
        <v>1</v>
      </c>
      <c r="U129" s="2">
        <v>0</v>
      </c>
      <c r="V129" s="2" t="s">
        <v>45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 t="s">
        <v>0</v>
      </c>
      <c r="AD129" s="2">
        <v>1</v>
      </c>
      <c r="AE129" s="2" t="s">
        <v>46</v>
      </c>
    </row>
    <row r="130" spans="1:31" ht="51" x14ac:dyDescent="0.2">
      <c r="A130" s="5" t="str">
        <f>HYPERLINK("http://www.patentics.cn/invokexml.do?sf=ShowPatent&amp;spn=CN101382331&amp;sv=f27caa034ea2e78d9c9e099374835d13","CN101382331")</f>
        <v>CN101382331</v>
      </c>
      <c r="B130" s="3" t="s">
        <v>579</v>
      </c>
      <c r="C130" s="3" t="s">
        <v>580</v>
      </c>
      <c r="D130" s="3" t="s">
        <v>49</v>
      </c>
      <c r="E130" s="3" t="s">
        <v>50</v>
      </c>
      <c r="F130" s="3" t="s">
        <v>575</v>
      </c>
      <c r="G130" s="3" t="s">
        <v>88</v>
      </c>
      <c r="H130" s="3" t="s">
        <v>576</v>
      </c>
      <c r="I130" s="3" t="s">
        <v>576</v>
      </c>
      <c r="J130" s="3" t="s">
        <v>581</v>
      </c>
      <c r="K130" s="3" t="s">
        <v>41</v>
      </c>
      <c r="L130" s="3" t="s">
        <v>84</v>
      </c>
      <c r="M130" s="3">
        <v>8</v>
      </c>
      <c r="N130" s="3">
        <v>28</v>
      </c>
      <c r="O130" s="3" t="s">
        <v>75</v>
      </c>
      <c r="P130" s="3" t="s">
        <v>44</v>
      </c>
      <c r="Q130" s="3">
        <v>1</v>
      </c>
      <c r="R130" s="3">
        <v>1</v>
      </c>
      <c r="S130" s="3">
        <v>0</v>
      </c>
      <c r="T130" s="3">
        <v>1</v>
      </c>
      <c r="U130" s="3">
        <v>4</v>
      </c>
      <c r="V130" s="3" t="s">
        <v>539</v>
      </c>
      <c r="W130" s="3">
        <v>0</v>
      </c>
      <c r="X130" s="3">
        <v>4</v>
      </c>
      <c r="Y130" s="3">
        <v>2</v>
      </c>
      <c r="Z130" s="3">
        <v>1</v>
      </c>
      <c r="AA130" s="3">
        <v>1</v>
      </c>
      <c r="AB130" s="3">
        <v>1</v>
      </c>
      <c r="AC130" s="3">
        <v>12</v>
      </c>
      <c r="AD130" s="3" t="s">
        <v>0</v>
      </c>
      <c r="AE130" s="3" t="s">
        <v>46</v>
      </c>
    </row>
    <row r="131" spans="1:31" ht="38.25" x14ac:dyDescent="0.2">
      <c r="A131" s="4" t="str">
        <f>HYPERLINK("http://www.patentics.cn/invokexml.do?sf=ShowPatent&amp;spn=CN104421192B&amp;sv=6b02a3ec5488819b73bab1e9679b3486","CN104421192B")</f>
        <v>CN104421192B</v>
      </c>
      <c r="B131" s="2" t="s">
        <v>782</v>
      </c>
      <c r="C131" s="2" t="s">
        <v>783</v>
      </c>
      <c r="D131" s="2" t="s">
        <v>784</v>
      </c>
      <c r="E131" s="2" t="s">
        <v>624</v>
      </c>
      <c r="F131" s="2" t="s">
        <v>785</v>
      </c>
      <c r="G131" s="2" t="s">
        <v>786</v>
      </c>
      <c r="H131" s="2" t="s">
        <v>0</v>
      </c>
      <c r="I131" s="2" t="s">
        <v>787</v>
      </c>
      <c r="J131" s="2" t="s">
        <v>788</v>
      </c>
      <c r="K131" s="2" t="s">
        <v>789</v>
      </c>
      <c r="L131" s="2" t="s">
        <v>790</v>
      </c>
      <c r="M131" s="2">
        <v>10</v>
      </c>
      <c r="N131" s="2">
        <v>23</v>
      </c>
      <c r="O131" s="2" t="s">
        <v>43</v>
      </c>
      <c r="P131" s="2" t="s">
        <v>44</v>
      </c>
      <c r="Q131" s="2">
        <v>1</v>
      </c>
      <c r="R131" s="2">
        <v>0</v>
      </c>
      <c r="S131" s="2">
        <v>1</v>
      </c>
      <c r="T131" s="2">
        <v>1</v>
      </c>
      <c r="U131" s="2">
        <v>0</v>
      </c>
      <c r="V131" s="2" t="s">
        <v>45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 t="s">
        <v>0</v>
      </c>
      <c r="AD131" s="2">
        <v>1</v>
      </c>
      <c r="AE131" s="2" t="s">
        <v>46</v>
      </c>
    </row>
    <row r="132" spans="1:31" ht="38.25" x14ac:dyDescent="0.2">
      <c r="A132" s="5" t="str">
        <f>HYPERLINK("http://www.patentics.cn/invokexml.do?sf=ShowPatent&amp;spn=CN102287391&amp;sv=9a2af4d5f8a780256a694e2e9e000387","CN102287391")</f>
        <v>CN102287391</v>
      </c>
      <c r="B132" s="3" t="s">
        <v>791</v>
      </c>
      <c r="C132" s="3" t="s">
        <v>792</v>
      </c>
      <c r="D132" s="3" t="s">
        <v>793</v>
      </c>
      <c r="E132" s="3" t="s">
        <v>190</v>
      </c>
      <c r="F132" s="3" t="s">
        <v>794</v>
      </c>
      <c r="G132" s="3" t="s">
        <v>794</v>
      </c>
      <c r="H132" s="3" t="s">
        <v>795</v>
      </c>
      <c r="I132" s="3" t="s">
        <v>795</v>
      </c>
      <c r="J132" s="3" t="s">
        <v>796</v>
      </c>
      <c r="K132" s="3" t="s">
        <v>789</v>
      </c>
      <c r="L132" s="3" t="s">
        <v>790</v>
      </c>
      <c r="M132" s="3">
        <v>9</v>
      </c>
      <c r="N132" s="3">
        <v>12</v>
      </c>
      <c r="O132" s="3" t="s">
        <v>75</v>
      </c>
      <c r="P132" s="3" t="s">
        <v>44</v>
      </c>
      <c r="Q132" s="3">
        <v>0</v>
      </c>
      <c r="R132" s="3">
        <v>0</v>
      </c>
      <c r="S132" s="3">
        <v>0</v>
      </c>
      <c r="T132" s="3">
        <v>0</v>
      </c>
      <c r="U132" s="3">
        <v>2</v>
      </c>
      <c r="V132" s="3" t="s">
        <v>797</v>
      </c>
      <c r="W132" s="3">
        <v>0</v>
      </c>
      <c r="X132" s="3">
        <v>2</v>
      </c>
      <c r="Y132" s="3">
        <v>1</v>
      </c>
      <c r="Z132" s="3">
        <v>1</v>
      </c>
      <c r="AA132" s="3">
        <v>1</v>
      </c>
      <c r="AB132" s="3">
        <v>1</v>
      </c>
      <c r="AC132" s="3">
        <v>12</v>
      </c>
      <c r="AD132" s="3" t="s">
        <v>0</v>
      </c>
      <c r="AE132" s="3" t="s">
        <v>46</v>
      </c>
    </row>
    <row r="133" spans="1:31" ht="38.25" x14ac:dyDescent="0.2">
      <c r="A133" s="4" t="str">
        <f>HYPERLINK("http://www.patentics.cn/invokexml.do?sf=ShowPatent&amp;spn=CN103932591B&amp;sv=1b92b2b895bcbcb881856cfa9d8bd30f","CN103932591B")</f>
        <v>CN103932591B</v>
      </c>
      <c r="B133" s="2" t="s">
        <v>798</v>
      </c>
      <c r="C133" s="2" t="s">
        <v>799</v>
      </c>
      <c r="D133" s="2" t="s">
        <v>800</v>
      </c>
      <c r="E133" s="2" t="s">
        <v>624</v>
      </c>
      <c r="F133" s="2" t="s">
        <v>801</v>
      </c>
      <c r="G133" s="2" t="s">
        <v>802</v>
      </c>
      <c r="H133" s="2" t="s">
        <v>0</v>
      </c>
      <c r="I133" s="2" t="s">
        <v>758</v>
      </c>
      <c r="J133" s="2" t="s">
        <v>803</v>
      </c>
      <c r="K133" s="2" t="s">
        <v>804</v>
      </c>
      <c r="L133" s="2" t="s">
        <v>805</v>
      </c>
      <c r="M133" s="2">
        <v>13</v>
      </c>
      <c r="N133" s="2">
        <v>11</v>
      </c>
      <c r="O133" s="2" t="s">
        <v>43</v>
      </c>
      <c r="P133" s="2" t="s">
        <v>44</v>
      </c>
      <c r="Q133" s="2">
        <v>1</v>
      </c>
      <c r="R133" s="2">
        <v>0</v>
      </c>
      <c r="S133" s="2">
        <v>1</v>
      </c>
      <c r="T133" s="2">
        <v>1</v>
      </c>
      <c r="U133" s="2">
        <v>0</v>
      </c>
      <c r="V133" s="2" t="s">
        <v>45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 t="s">
        <v>0</v>
      </c>
      <c r="AD133" s="2">
        <v>1</v>
      </c>
      <c r="AE133" s="2" t="s">
        <v>46</v>
      </c>
    </row>
    <row r="134" spans="1:31" ht="25.5" x14ac:dyDescent="0.2">
      <c r="A134" s="5" t="str">
        <f>HYPERLINK("http://www.patentics.cn/invokexml.do?sf=ShowPatent&amp;spn=CN103425153&amp;sv=6f3841144bd067a82f280b491068a0e7","CN103425153")</f>
        <v>CN103425153</v>
      </c>
      <c r="B134" s="3" t="s">
        <v>806</v>
      </c>
      <c r="C134" s="3" t="s">
        <v>807</v>
      </c>
      <c r="D134" s="3" t="s">
        <v>49</v>
      </c>
      <c r="E134" s="3" t="s">
        <v>50</v>
      </c>
      <c r="F134" s="3" t="s">
        <v>808</v>
      </c>
      <c r="G134" s="3" t="s">
        <v>809</v>
      </c>
      <c r="H134" s="3" t="s">
        <v>0</v>
      </c>
      <c r="I134" s="3" t="s">
        <v>810</v>
      </c>
      <c r="J134" s="3" t="s">
        <v>811</v>
      </c>
      <c r="K134" s="3" t="s">
        <v>812</v>
      </c>
      <c r="L134" s="3" t="s">
        <v>813</v>
      </c>
      <c r="M134" s="3">
        <v>20</v>
      </c>
      <c r="N134" s="3">
        <v>6</v>
      </c>
      <c r="O134" s="3" t="s">
        <v>75</v>
      </c>
      <c r="P134" s="3" t="s">
        <v>44</v>
      </c>
      <c r="Q134" s="3">
        <v>0</v>
      </c>
      <c r="R134" s="3">
        <v>0</v>
      </c>
      <c r="S134" s="3">
        <v>0</v>
      </c>
      <c r="T134" s="3">
        <v>0</v>
      </c>
      <c r="U134" s="3">
        <v>1</v>
      </c>
      <c r="V134" s="3" t="s">
        <v>553</v>
      </c>
      <c r="W134" s="3">
        <v>0</v>
      </c>
      <c r="X134" s="3">
        <v>1</v>
      </c>
      <c r="Y134" s="3">
        <v>1</v>
      </c>
      <c r="Z134" s="3">
        <v>1</v>
      </c>
      <c r="AA134" s="3">
        <v>0</v>
      </c>
      <c r="AB134" s="3">
        <v>0</v>
      </c>
      <c r="AC134" s="3">
        <v>12</v>
      </c>
      <c r="AD134" s="3" t="s">
        <v>0</v>
      </c>
      <c r="AE134" s="3" t="s">
        <v>46</v>
      </c>
    </row>
    <row r="135" spans="1:31" ht="38.25" x14ac:dyDescent="0.2">
      <c r="A135" s="4" t="str">
        <f>HYPERLINK("http://www.patentics.cn/invokexml.do?sf=ShowPatent&amp;spn=CN104469996B&amp;sv=ea2b021dd38269fbb28f356b4bd49cfb","CN104469996B")</f>
        <v>CN104469996B</v>
      </c>
      <c r="B135" s="2" t="s">
        <v>814</v>
      </c>
      <c r="C135" s="2" t="s">
        <v>815</v>
      </c>
      <c r="D135" s="2" t="s">
        <v>784</v>
      </c>
      <c r="E135" s="2" t="s">
        <v>624</v>
      </c>
      <c r="F135" s="2" t="s">
        <v>816</v>
      </c>
      <c r="G135" s="2" t="s">
        <v>816</v>
      </c>
      <c r="H135" s="2" t="s">
        <v>0</v>
      </c>
      <c r="I135" s="2" t="s">
        <v>817</v>
      </c>
      <c r="J135" s="2" t="s">
        <v>818</v>
      </c>
      <c r="K135" s="2" t="s">
        <v>819</v>
      </c>
      <c r="L135" s="2" t="s">
        <v>820</v>
      </c>
      <c r="M135" s="2">
        <v>9</v>
      </c>
      <c r="N135" s="2">
        <v>22</v>
      </c>
      <c r="O135" s="2" t="s">
        <v>43</v>
      </c>
      <c r="P135" s="2" t="s">
        <v>44</v>
      </c>
      <c r="Q135" s="2">
        <v>5</v>
      </c>
      <c r="R135" s="2">
        <v>1</v>
      </c>
      <c r="S135" s="2">
        <v>4</v>
      </c>
      <c r="T135" s="2">
        <v>5</v>
      </c>
      <c r="U135" s="2">
        <v>0</v>
      </c>
      <c r="V135" s="2" t="s">
        <v>45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 t="s">
        <v>0</v>
      </c>
      <c r="AD135" s="2">
        <v>1</v>
      </c>
      <c r="AE135" s="2" t="s">
        <v>46</v>
      </c>
    </row>
    <row r="136" spans="1:31" ht="51" x14ac:dyDescent="0.2">
      <c r="A136" s="5" t="str">
        <f>HYPERLINK("http://www.patentics.cn/invokexml.do?sf=ShowPatent&amp;spn=CN201563320&amp;sv=1ce48acbef1854499987dae67a56d99e","CN201563320")</f>
        <v>CN201563320</v>
      </c>
      <c r="B136" s="3" t="s">
        <v>821</v>
      </c>
      <c r="C136" s="3" t="s">
        <v>822</v>
      </c>
      <c r="D136" s="3" t="s">
        <v>49</v>
      </c>
      <c r="E136" s="3" t="s">
        <v>50</v>
      </c>
      <c r="F136" s="3" t="s">
        <v>823</v>
      </c>
      <c r="G136" s="3" t="s">
        <v>824</v>
      </c>
      <c r="H136" s="3" t="s">
        <v>0</v>
      </c>
      <c r="I136" s="3" t="s">
        <v>825</v>
      </c>
      <c r="J136" s="3" t="s">
        <v>397</v>
      </c>
      <c r="K136" s="3" t="s">
        <v>826</v>
      </c>
      <c r="L136" s="3" t="s">
        <v>827</v>
      </c>
      <c r="M136" s="3">
        <v>10</v>
      </c>
      <c r="N136" s="3">
        <v>11</v>
      </c>
      <c r="O136" s="3" t="s">
        <v>55</v>
      </c>
      <c r="P136" s="3" t="s">
        <v>44</v>
      </c>
      <c r="Q136" s="3">
        <v>0</v>
      </c>
      <c r="R136" s="3">
        <v>0</v>
      </c>
      <c r="S136" s="3">
        <v>0</v>
      </c>
      <c r="T136" s="3">
        <v>0</v>
      </c>
      <c r="U136" s="3">
        <v>2</v>
      </c>
      <c r="V136" s="3" t="s">
        <v>141</v>
      </c>
      <c r="W136" s="3">
        <v>1</v>
      </c>
      <c r="X136" s="3">
        <v>1</v>
      </c>
      <c r="Y136" s="3">
        <v>2</v>
      </c>
      <c r="Z136" s="3">
        <v>1</v>
      </c>
      <c r="AA136" s="3">
        <v>0</v>
      </c>
      <c r="AB136" s="3">
        <v>0</v>
      </c>
      <c r="AC136" s="3">
        <v>12</v>
      </c>
      <c r="AD136" s="3" t="s">
        <v>0</v>
      </c>
      <c r="AE136" s="3" t="s">
        <v>46</v>
      </c>
    </row>
    <row r="137" spans="1:31" ht="25.5" x14ac:dyDescent="0.2">
      <c r="A137" s="4" t="str">
        <f>HYPERLINK("http://www.patentics.cn/invokexml.do?sf=ShowPatent&amp;spn=CN103940042B&amp;sv=bb12d3de523c822246fc747506a284e8","CN103940042B")</f>
        <v>CN103940042B</v>
      </c>
      <c r="B137" s="2" t="s">
        <v>828</v>
      </c>
      <c r="C137" s="2" t="s">
        <v>829</v>
      </c>
      <c r="D137" s="2" t="s">
        <v>79</v>
      </c>
      <c r="E137" s="2" t="s">
        <v>36</v>
      </c>
      <c r="F137" s="2" t="s">
        <v>830</v>
      </c>
      <c r="G137" s="2" t="s">
        <v>831</v>
      </c>
      <c r="H137" s="2" t="s">
        <v>0</v>
      </c>
      <c r="I137" s="2" t="s">
        <v>832</v>
      </c>
      <c r="J137" s="2" t="s">
        <v>818</v>
      </c>
      <c r="K137" s="2" t="s">
        <v>41</v>
      </c>
      <c r="L137" s="2" t="s">
        <v>84</v>
      </c>
      <c r="M137" s="2">
        <v>10</v>
      </c>
      <c r="N137" s="2">
        <v>19</v>
      </c>
      <c r="O137" s="2" t="s">
        <v>43</v>
      </c>
      <c r="P137" s="2" t="s">
        <v>44</v>
      </c>
      <c r="Q137" s="2">
        <v>7</v>
      </c>
      <c r="R137" s="2">
        <v>0</v>
      </c>
      <c r="S137" s="2">
        <v>7</v>
      </c>
      <c r="T137" s="2">
        <v>7</v>
      </c>
      <c r="U137" s="2">
        <v>0</v>
      </c>
      <c r="V137" s="2" t="s">
        <v>45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 t="s">
        <v>0</v>
      </c>
      <c r="AD137" s="2">
        <v>1</v>
      </c>
      <c r="AE137" s="2" t="s">
        <v>46</v>
      </c>
    </row>
    <row r="138" spans="1:31" ht="51" x14ac:dyDescent="0.2">
      <c r="A138" s="5" t="str">
        <f>HYPERLINK("http://www.patentics.cn/invokexml.do?sf=ShowPatent&amp;spn=CN202581691&amp;sv=5ada4d716bf1218975d871d4de4fc9b1","CN202581691")</f>
        <v>CN202581691</v>
      </c>
      <c r="B138" s="3" t="s">
        <v>833</v>
      </c>
      <c r="C138" s="3" t="s">
        <v>834</v>
      </c>
      <c r="D138" s="3" t="s">
        <v>49</v>
      </c>
      <c r="E138" s="3" t="s">
        <v>50</v>
      </c>
      <c r="F138" s="3" t="s">
        <v>835</v>
      </c>
      <c r="G138" s="3" t="s">
        <v>836</v>
      </c>
      <c r="H138" s="3" t="s">
        <v>0</v>
      </c>
      <c r="I138" s="3" t="s">
        <v>764</v>
      </c>
      <c r="J138" s="3" t="s">
        <v>223</v>
      </c>
      <c r="K138" s="3" t="s">
        <v>41</v>
      </c>
      <c r="L138" s="3" t="s">
        <v>91</v>
      </c>
      <c r="M138" s="3">
        <v>6</v>
      </c>
      <c r="N138" s="3">
        <v>9</v>
      </c>
      <c r="O138" s="3" t="s">
        <v>55</v>
      </c>
      <c r="P138" s="3" t="s">
        <v>44</v>
      </c>
      <c r="Q138" s="3">
        <v>0</v>
      </c>
      <c r="R138" s="3">
        <v>0</v>
      </c>
      <c r="S138" s="3">
        <v>0</v>
      </c>
      <c r="T138" s="3">
        <v>0</v>
      </c>
      <c r="U138" s="3">
        <v>1</v>
      </c>
      <c r="V138" s="3" t="s">
        <v>177</v>
      </c>
      <c r="W138" s="3">
        <v>0</v>
      </c>
      <c r="X138" s="3">
        <v>1</v>
      </c>
      <c r="Y138" s="3">
        <v>1</v>
      </c>
      <c r="Z138" s="3">
        <v>1</v>
      </c>
      <c r="AA138" s="3">
        <v>0</v>
      </c>
      <c r="AB138" s="3">
        <v>0</v>
      </c>
      <c r="AC138" s="3">
        <v>12</v>
      </c>
      <c r="AD138" s="3" t="s">
        <v>0</v>
      </c>
      <c r="AE138" s="3" t="s">
        <v>46</v>
      </c>
    </row>
    <row r="139" spans="1:31" ht="38.25" x14ac:dyDescent="0.2">
      <c r="A139" s="4" t="str">
        <f>HYPERLINK("http://www.patentics.cn/invokexml.do?sf=ShowPatent&amp;spn=CN103884480B&amp;sv=5b4eb50728e00b4cc781f310c915c241","CN103884480B")</f>
        <v>CN103884480B</v>
      </c>
      <c r="B139" s="2" t="s">
        <v>837</v>
      </c>
      <c r="C139" s="2" t="s">
        <v>838</v>
      </c>
      <c r="D139" s="2" t="s">
        <v>755</v>
      </c>
      <c r="E139" s="2" t="s">
        <v>624</v>
      </c>
      <c r="F139" s="2" t="s">
        <v>839</v>
      </c>
      <c r="G139" s="2" t="s">
        <v>839</v>
      </c>
      <c r="H139" s="2" t="s">
        <v>0</v>
      </c>
      <c r="I139" s="2" t="s">
        <v>840</v>
      </c>
      <c r="J139" s="2" t="s">
        <v>818</v>
      </c>
      <c r="K139" s="2" t="s">
        <v>687</v>
      </c>
      <c r="L139" s="2" t="s">
        <v>841</v>
      </c>
      <c r="M139" s="2">
        <v>17</v>
      </c>
      <c r="N139" s="2">
        <v>8</v>
      </c>
      <c r="O139" s="2" t="s">
        <v>43</v>
      </c>
      <c r="P139" s="2" t="s">
        <v>44</v>
      </c>
      <c r="Q139" s="2">
        <v>7</v>
      </c>
      <c r="R139" s="2">
        <v>1</v>
      </c>
      <c r="S139" s="2">
        <v>6</v>
      </c>
      <c r="T139" s="2">
        <v>6</v>
      </c>
      <c r="U139" s="2">
        <v>0</v>
      </c>
      <c r="V139" s="2" t="s">
        <v>45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 t="s">
        <v>0</v>
      </c>
      <c r="AD139" s="2">
        <v>1</v>
      </c>
      <c r="AE139" s="2" t="s">
        <v>46</v>
      </c>
    </row>
    <row r="140" spans="1:31" ht="38.25" x14ac:dyDescent="0.2">
      <c r="A140" s="5" t="str">
        <f>HYPERLINK("http://www.patentics.cn/invokexml.do?sf=ShowPatent&amp;spn=CN203286652&amp;sv=3aeba82b9181ae169c257249b6a64e35","CN203286652")</f>
        <v>CN203286652</v>
      </c>
      <c r="B140" s="3" t="s">
        <v>842</v>
      </c>
      <c r="C140" s="3" t="s">
        <v>462</v>
      </c>
      <c r="D140" s="3" t="s">
        <v>49</v>
      </c>
      <c r="E140" s="3" t="s">
        <v>50</v>
      </c>
      <c r="F140" s="3" t="s">
        <v>843</v>
      </c>
      <c r="G140" s="3" t="s">
        <v>844</v>
      </c>
      <c r="H140" s="3" t="s">
        <v>0</v>
      </c>
      <c r="I140" s="3" t="s">
        <v>845</v>
      </c>
      <c r="J140" s="3" t="s">
        <v>765</v>
      </c>
      <c r="K140" s="3" t="s">
        <v>41</v>
      </c>
      <c r="L140" s="3" t="s">
        <v>42</v>
      </c>
      <c r="M140" s="3">
        <v>5</v>
      </c>
      <c r="N140" s="3">
        <v>27</v>
      </c>
      <c r="O140" s="3" t="s">
        <v>55</v>
      </c>
      <c r="P140" s="3" t="s">
        <v>44</v>
      </c>
      <c r="Q140" s="3">
        <v>0</v>
      </c>
      <c r="R140" s="3">
        <v>0</v>
      </c>
      <c r="S140" s="3">
        <v>0</v>
      </c>
      <c r="T140" s="3">
        <v>0</v>
      </c>
      <c r="U140" s="3">
        <v>2</v>
      </c>
      <c r="V140" s="3" t="s">
        <v>846</v>
      </c>
      <c r="W140" s="3">
        <v>1</v>
      </c>
      <c r="X140" s="3">
        <v>1</v>
      </c>
      <c r="Y140" s="3">
        <v>2</v>
      </c>
      <c r="Z140" s="3">
        <v>1</v>
      </c>
      <c r="AA140" s="3">
        <v>0</v>
      </c>
      <c r="AB140" s="3">
        <v>0</v>
      </c>
      <c r="AC140" s="3">
        <v>12</v>
      </c>
      <c r="AD140" s="3" t="s">
        <v>0</v>
      </c>
      <c r="AE140" s="3" t="s">
        <v>46</v>
      </c>
    </row>
    <row r="141" spans="1:31" ht="38.25" x14ac:dyDescent="0.2">
      <c r="A141" s="4" t="str">
        <f>HYPERLINK("http://www.patentics.cn/invokexml.do?sf=ShowPatent&amp;spn=CN103762760B&amp;sv=560463e6fa5d00c128091bb67e36c9a5","CN103762760B")</f>
        <v>CN103762760B</v>
      </c>
      <c r="B141" s="2" t="s">
        <v>847</v>
      </c>
      <c r="C141" s="2" t="s">
        <v>848</v>
      </c>
      <c r="D141" s="2" t="s">
        <v>180</v>
      </c>
      <c r="E141" s="2" t="s">
        <v>36</v>
      </c>
      <c r="F141" s="2" t="s">
        <v>849</v>
      </c>
      <c r="G141" s="2" t="s">
        <v>850</v>
      </c>
      <c r="H141" s="2" t="s">
        <v>0</v>
      </c>
      <c r="I141" s="2" t="s">
        <v>851</v>
      </c>
      <c r="J141" s="2" t="s">
        <v>818</v>
      </c>
      <c r="K141" s="2" t="s">
        <v>852</v>
      </c>
      <c r="L141" s="2" t="s">
        <v>853</v>
      </c>
      <c r="M141" s="2">
        <v>9</v>
      </c>
      <c r="N141" s="2">
        <v>18</v>
      </c>
      <c r="O141" s="2" t="s">
        <v>43</v>
      </c>
      <c r="P141" s="2" t="s">
        <v>44</v>
      </c>
      <c r="Q141" s="2">
        <v>7</v>
      </c>
      <c r="R141" s="2">
        <v>0</v>
      </c>
      <c r="S141" s="2">
        <v>7</v>
      </c>
      <c r="T141" s="2">
        <v>4</v>
      </c>
      <c r="U141" s="2">
        <v>0</v>
      </c>
      <c r="V141" s="2" t="s">
        <v>45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 t="s">
        <v>0</v>
      </c>
      <c r="AD141" s="2">
        <v>1</v>
      </c>
      <c r="AE141" s="2" t="s">
        <v>46</v>
      </c>
    </row>
    <row r="142" spans="1:31" ht="38.25" x14ac:dyDescent="0.2">
      <c r="A142" s="5" t="str">
        <f>HYPERLINK("http://www.patentics.cn/invokexml.do?sf=ShowPatent&amp;spn=CN201319527&amp;sv=0f91e18c94f0afb3b8bf6ce8b3aa1b7c","CN201319527")</f>
        <v>CN201319527</v>
      </c>
      <c r="B142" s="3" t="s">
        <v>854</v>
      </c>
      <c r="C142" s="3" t="s">
        <v>855</v>
      </c>
      <c r="D142" s="3" t="s">
        <v>49</v>
      </c>
      <c r="E142" s="3" t="s">
        <v>50</v>
      </c>
      <c r="F142" s="3" t="s">
        <v>856</v>
      </c>
      <c r="G142" s="3" t="s">
        <v>857</v>
      </c>
      <c r="H142" s="3" t="s">
        <v>0</v>
      </c>
      <c r="I142" s="3" t="s">
        <v>858</v>
      </c>
      <c r="J142" s="3" t="s">
        <v>859</v>
      </c>
      <c r="K142" s="3" t="s">
        <v>852</v>
      </c>
      <c r="L142" s="3" t="s">
        <v>853</v>
      </c>
      <c r="M142" s="3">
        <v>3</v>
      </c>
      <c r="N142" s="3">
        <v>7</v>
      </c>
      <c r="O142" s="3" t="s">
        <v>55</v>
      </c>
      <c r="P142" s="3" t="s">
        <v>44</v>
      </c>
      <c r="Q142" s="3">
        <v>0</v>
      </c>
      <c r="R142" s="3">
        <v>0</v>
      </c>
      <c r="S142" s="3">
        <v>0</v>
      </c>
      <c r="T142" s="3">
        <v>0</v>
      </c>
      <c r="U142" s="3">
        <v>4</v>
      </c>
      <c r="V142" s="3" t="s">
        <v>860</v>
      </c>
      <c r="W142" s="3">
        <v>0</v>
      </c>
      <c r="X142" s="3">
        <v>4</v>
      </c>
      <c r="Y142" s="3">
        <v>3</v>
      </c>
      <c r="Z142" s="3">
        <v>2</v>
      </c>
      <c r="AA142" s="3">
        <v>0</v>
      </c>
      <c r="AB142" s="3">
        <v>0</v>
      </c>
      <c r="AC142" s="3">
        <v>12</v>
      </c>
      <c r="AD142" s="3" t="s">
        <v>0</v>
      </c>
      <c r="AE142" s="3" t="s">
        <v>46</v>
      </c>
    </row>
    <row r="143" spans="1:31" ht="38.25" x14ac:dyDescent="0.2">
      <c r="A143" s="4" t="str">
        <f>HYPERLINK("http://www.patentics.cn/invokexml.do?sf=ShowPatent&amp;spn=CN104110907B&amp;sv=b96e340509e8f1a9faa869c6ba608953","CN104110907B")</f>
        <v>CN104110907B</v>
      </c>
      <c r="B143" s="2" t="s">
        <v>861</v>
      </c>
      <c r="C143" s="2" t="s">
        <v>862</v>
      </c>
      <c r="D143" s="2" t="s">
        <v>863</v>
      </c>
      <c r="E143" s="2" t="s">
        <v>624</v>
      </c>
      <c r="F143" s="2" t="s">
        <v>864</v>
      </c>
      <c r="G143" s="2" t="s">
        <v>598</v>
      </c>
      <c r="H143" s="2" t="s">
        <v>0</v>
      </c>
      <c r="I143" s="2" t="s">
        <v>383</v>
      </c>
      <c r="J143" s="2" t="s">
        <v>818</v>
      </c>
      <c r="K143" s="2" t="s">
        <v>347</v>
      </c>
      <c r="L143" s="2" t="s">
        <v>348</v>
      </c>
      <c r="M143" s="2">
        <v>10</v>
      </c>
      <c r="N143" s="2">
        <v>18</v>
      </c>
      <c r="O143" s="2" t="s">
        <v>43</v>
      </c>
      <c r="P143" s="2" t="s">
        <v>44</v>
      </c>
      <c r="Q143" s="2">
        <v>6</v>
      </c>
      <c r="R143" s="2">
        <v>1</v>
      </c>
      <c r="S143" s="2">
        <v>5</v>
      </c>
      <c r="T143" s="2">
        <v>6</v>
      </c>
      <c r="U143" s="2">
        <v>0</v>
      </c>
      <c r="V143" s="2" t="s">
        <v>45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 t="s">
        <v>0</v>
      </c>
      <c r="AD143" s="2">
        <v>1</v>
      </c>
      <c r="AE143" s="2" t="s">
        <v>46</v>
      </c>
    </row>
    <row r="144" spans="1:31" ht="25.5" x14ac:dyDescent="0.2">
      <c r="A144" s="5" t="str">
        <f>HYPERLINK("http://www.patentics.cn/invokexml.do?sf=ShowPatent&amp;spn=CN201667606&amp;sv=aa3df418a3cfb1003df6fa043ba97641","CN201667606")</f>
        <v>CN201667606</v>
      </c>
      <c r="B144" s="3" t="s">
        <v>865</v>
      </c>
      <c r="C144" s="3" t="s">
        <v>866</v>
      </c>
      <c r="D144" s="3" t="s">
        <v>49</v>
      </c>
      <c r="E144" s="3" t="s">
        <v>50</v>
      </c>
      <c r="F144" s="3" t="s">
        <v>867</v>
      </c>
      <c r="G144" s="3" t="s">
        <v>867</v>
      </c>
      <c r="H144" s="3" t="s">
        <v>0</v>
      </c>
      <c r="I144" s="3" t="s">
        <v>868</v>
      </c>
      <c r="J144" s="3" t="s">
        <v>869</v>
      </c>
      <c r="K144" s="3" t="s">
        <v>870</v>
      </c>
      <c r="L144" s="3" t="s">
        <v>871</v>
      </c>
      <c r="M144" s="3">
        <v>9</v>
      </c>
      <c r="N144" s="3">
        <v>16</v>
      </c>
      <c r="O144" s="3" t="s">
        <v>55</v>
      </c>
      <c r="P144" s="3" t="s">
        <v>44</v>
      </c>
      <c r="Q144" s="3">
        <v>0</v>
      </c>
      <c r="R144" s="3">
        <v>0</v>
      </c>
      <c r="S144" s="3">
        <v>0</v>
      </c>
      <c r="T144" s="3">
        <v>0</v>
      </c>
      <c r="U144" s="3">
        <v>3</v>
      </c>
      <c r="V144" s="3" t="s">
        <v>872</v>
      </c>
      <c r="W144" s="3">
        <v>1</v>
      </c>
      <c r="X144" s="3">
        <v>2</v>
      </c>
      <c r="Y144" s="3">
        <v>3</v>
      </c>
      <c r="Z144" s="3">
        <v>1</v>
      </c>
      <c r="AA144" s="3">
        <v>0</v>
      </c>
      <c r="AB144" s="3">
        <v>0</v>
      </c>
      <c r="AC144" s="3">
        <v>12</v>
      </c>
      <c r="AD144" s="3" t="s">
        <v>0</v>
      </c>
      <c r="AE144" s="3" t="s">
        <v>46</v>
      </c>
    </row>
    <row r="145" spans="1:31" ht="38.25" x14ac:dyDescent="0.2">
      <c r="A145" s="4" t="str">
        <f>HYPERLINK("http://www.patentics.cn/invokexml.do?sf=ShowPatent&amp;spn=CN103629744B&amp;sv=1c5ec30078c22438264ea085c6dac158","CN103629744B")</f>
        <v>CN103629744B</v>
      </c>
      <c r="B145" s="2" t="s">
        <v>873</v>
      </c>
      <c r="C145" s="2" t="s">
        <v>874</v>
      </c>
      <c r="D145" s="2" t="s">
        <v>35</v>
      </c>
      <c r="E145" s="2" t="s">
        <v>36</v>
      </c>
      <c r="F145" s="2" t="s">
        <v>875</v>
      </c>
      <c r="G145" s="2" t="s">
        <v>876</v>
      </c>
      <c r="H145" s="2" t="s">
        <v>0</v>
      </c>
      <c r="I145" s="2" t="s">
        <v>877</v>
      </c>
      <c r="J145" s="2" t="s">
        <v>295</v>
      </c>
      <c r="K145" s="2" t="s">
        <v>41</v>
      </c>
      <c r="L145" s="2" t="s">
        <v>42</v>
      </c>
      <c r="M145" s="2">
        <v>19</v>
      </c>
      <c r="N145" s="2">
        <v>22</v>
      </c>
      <c r="O145" s="2" t="s">
        <v>43</v>
      </c>
      <c r="P145" s="2" t="s">
        <v>44</v>
      </c>
      <c r="Q145" s="2">
        <v>5</v>
      </c>
      <c r="R145" s="2">
        <v>1</v>
      </c>
      <c r="S145" s="2">
        <v>4</v>
      </c>
      <c r="T145" s="2">
        <v>5</v>
      </c>
      <c r="U145" s="2">
        <v>0</v>
      </c>
      <c r="V145" s="2" t="s">
        <v>45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 t="s">
        <v>0</v>
      </c>
      <c r="AD145" s="2">
        <v>1</v>
      </c>
      <c r="AE145" s="2" t="s">
        <v>46</v>
      </c>
    </row>
    <row r="146" spans="1:31" ht="25.5" x14ac:dyDescent="0.2">
      <c r="A146" s="5" t="str">
        <f>HYPERLINK("http://www.patentics.cn/invokexml.do?sf=ShowPatent&amp;spn=CN201852252&amp;sv=c04226bfa50ea9c2cb2977c6441b310f","CN201852252")</f>
        <v>CN201852252</v>
      </c>
      <c r="B146" s="3" t="s">
        <v>878</v>
      </c>
      <c r="C146" s="3" t="s">
        <v>879</v>
      </c>
      <c r="D146" s="3" t="s">
        <v>49</v>
      </c>
      <c r="E146" s="3" t="s">
        <v>50</v>
      </c>
      <c r="F146" s="3" t="s">
        <v>880</v>
      </c>
      <c r="G146" s="3" t="s">
        <v>880</v>
      </c>
      <c r="H146" s="3" t="s">
        <v>0</v>
      </c>
      <c r="I146" s="3" t="s">
        <v>881</v>
      </c>
      <c r="J146" s="3" t="s">
        <v>882</v>
      </c>
      <c r="K146" s="3" t="s">
        <v>41</v>
      </c>
      <c r="L146" s="3" t="s">
        <v>453</v>
      </c>
      <c r="M146" s="3">
        <v>13</v>
      </c>
      <c r="N146" s="3">
        <v>19</v>
      </c>
      <c r="O146" s="3" t="s">
        <v>55</v>
      </c>
      <c r="P146" s="3" t="s">
        <v>44</v>
      </c>
      <c r="Q146" s="3">
        <v>0</v>
      </c>
      <c r="R146" s="3">
        <v>0</v>
      </c>
      <c r="S146" s="3">
        <v>0</v>
      </c>
      <c r="T146" s="3">
        <v>0</v>
      </c>
      <c r="U146" s="3">
        <v>2</v>
      </c>
      <c r="V146" s="3" t="s">
        <v>883</v>
      </c>
      <c r="W146" s="3">
        <v>1</v>
      </c>
      <c r="X146" s="3">
        <v>1</v>
      </c>
      <c r="Y146" s="3">
        <v>2</v>
      </c>
      <c r="Z146" s="3">
        <v>1</v>
      </c>
      <c r="AA146" s="3">
        <v>0</v>
      </c>
      <c r="AB146" s="3">
        <v>0</v>
      </c>
      <c r="AC146" s="3">
        <v>12</v>
      </c>
      <c r="AD146" s="3" t="s">
        <v>0</v>
      </c>
      <c r="AE146" s="3" t="s">
        <v>57</v>
      </c>
    </row>
    <row r="147" spans="1:31" ht="51" x14ac:dyDescent="0.2">
      <c r="A147" s="4" t="str">
        <f>HYPERLINK("http://www.patentics.cn/invokexml.do?sf=ShowPatent&amp;spn=CN103727617B&amp;sv=bec4592728ad34e0c23e4937b8c4db80","CN103727617B")</f>
        <v>CN103727617B</v>
      </c>
      <c r="B147" s="2" t="s">
        <v>884</v>
      </c>
      <c r="C147" s="2" t="s">
        <v>885</v>
      </c>
      <c r="D147" s="2" t="s">
        <v>886</v>
      </c>
      <c r="E147" s="2" t="s">
        <v>36</v>
      </c>
      <c r="F147" s="2" t="s">
        <v>887</v>
      </c>
      <c r="G147" s="2" t="s">
        <v>888</v>
      </c>
      <c r="H147" s="2" t="s">
        <v>0</v>
      </c>
      <c r="I147" s="2" t="s">
        <v>889</v>
      </c>
      <c r="J147" s="2" t="s">
        <v>890</v>
      </c>
      <c r="K147" s="2" t="s">
        <v>41</v>
      </c>
      <c r="L147" s="2" t="s">
        <v>891</v>
      </c>
      <c r="M147" s="2">
        <v>9</v>
      </c>
      <c r="N147" s="2">
        <v>19</v>
      </c>
      <c r="O147" s="2" t="s">
        <v>43</v>
      </c>
      <c r="P147" s="2" t="s">
        <v>44</v>
      </c>
      <c r="Q147" s="2">
        <v>6</v>
      </c>
      <c r="R147" s="2">
        <v>1</v>
      </c>
      <c r="S147" s="2">
        <v>5</v>
      </c>
      <c r="T147" s="2">
        <v>5</v>
      </c>
      <c r="U147" s="2">
        <v>0</v>
      </c>
      <c r="V147" s="2" t="s">
        <v>45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 t="s">
        <v>0</v>
      </c>
      <c r="AD147" s="2">
        <v>1</v>
      </c>
      <c r="AE147" s="2" t="s">
        <v>46</v>
      </c>
    </row>
    <row r="148" spans="1:31" ht="38.25" x14ac:dyDescent="0.2">
      <c r="A148" s="5" t="str">
        <f>HYPERLINK("http://www.patentics.cn/invokexml.do?sf=ShowPatent&amp;spn=CN201448958&amp;sv=b60a6d5d228f2c62289bfdaf2f6725e7","CN201448958")</f>
        <v>CN201448958</v>
      </c>
      <c r="B148" s="3" t="s">
        <v>892</v>
      </c>
      <c r="C148" s="3" t="s">
        <v>885</v>
      </c>
      <c r="D148" s="3" t="s">
        <v>49</v>
      </c>
      <c r="E148" s="3" t="s">
        <v>50</v>
      </c>
      <c r="F148" s="3" t="s">
        <v>893</v>
      </c>
      <c r="G148" s="3" t="s">
        <v>894</v>
      </c>
      <c r="H148" s="3" t="s">
        <v>0</v>
      </c>
      <c r="I148" s="3" t="s">
        <v>895</v>
      </c>
      <c r="J148" s="3" t="s">
        <v>452</v>
      </c>
      <c r="K148" s="3" t="s">
        <v>41</v>
      </c>
      <c r="L148" s="3" t="s">
        <v>891</v>
      </c>
      <c r="M148" s="3">
        <v>8</v>
      </c>
      <c r="N148" s="3">
        <v>12</v>
      </c>
      <c r="O148" s="3" t="s">
        <v>55</v>
      </c>
      <c r="P148" s="3" t="s">
        <v>44</v>
      </c>
      <c r="Q148" s="3">
        <v>0</v>
      </c>
      <c r="R148" s="3">
        <v>0</v>
      </c>
      <c r="S148" s="3">
        <v>0</v>
      </c>
      <c r="T148" s="3">
        <v>0</v>
      </c>
      <c r="U148" s="3">
        <v>1</v>
      </c>
      <c r="V148" s="3" t="s">
        <v>339</v>
      </c>
      <c r="W148" s="3">
        <v>0</v>
      </c>
      <c r="X148" s="3">
        <v>1</v>
      </c>
      <c r="Y148" s="3">
        <v>1</v>
      </c>
      <c r="Z148" s="3">
        <v>1</v>
      </c>
      <c r="AA148" s="3">
        <v>0</v>
      </c>
      <c r="AB148" s="3">
        <v>0</v>
      </c>
      <c r="AC148" s="3">
        <v>12</v>
      </c>
      <c r="AD148" s="3" t="s">
        <v>0</v>
      </c>
      <c r="AE148" s="3" t="s">
        <v>46</v>
      </c>
    </row>
    <row r="149" spans="1:31" x14ac:dyDescent="0.2">
      <c r="A149" s="4" t="str">
        <f>HYPERLINK("http://www.patentics.cn/invokexml.do?sf=ShowPatent&amp;spn=CN104055417B&amp;sv=e7c11c217bb2ced1754ff9960331abf6","CN104055417B")</f>
        <v>CN104055417B</v>
      </c>
      <c r="B149" s="2" t="s">
        <v>896</v>
      </c>
      <c r="C149" s="2" t="s">
        <v>897</v>
      </c>
      <c r="D149" s="2" t="s">
        <v>79</v>
      </c>
      <c r="E149" s="2" t="s">
        <v>36</v>
      </c>
      <c r="F149" s="2" t="s">
        <v>898</v>
      </c>
      <c r="G149" s="2" t="s">
        <v>898</v>
      </c>
      <c r="H149" s="2" t="s">
        <v>0</v>
      </c>
      <c r="I149" s="2" t="s">
        <v>168</v>
      </c>
      <c r="J149" s="2" t="s">
        <v>890</v>
      </c>
      <c r="K149" s="2" t="s">
        <v>804</v>
      </c>
      <c r="L149" s="2" t="s">
        <v>899</v>
      </c>
      <c r="M149" s="2">
        <v>12</v>
      </c>
      <c r="N149" s="2">
        <v>18</v>
      </c>
      <c r="O149" s="2" t="s">
        <v>43</v>
      </c>
      <c r="P149" s="2" t="s">
        <v>44</v>
      </c>
      <c r="Q149" s="2">
        <v>5</v>
      </c>
      <c r="R149" s="2">
        <v>1</v>
      </c>
      <c r="S149" s="2">
        <v>4</v>
      </c>
      <c r="T149" s="2">
        <v>5</v>
      </c>
      <c r="U149" s="2">
        <v>0</v>
      </c>
      <c r="V149" s="2" t="s">
        <v>45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 t="s">
        <v>0</v>
      </c>
      <c r="AD149" s="2">
        <v>1</v>
      </c>
      <c r="AE149" s="2" t="s">
        <v>46</v>
      </c>
    </row>
    <row r="150" spans="1:31" ht="51" x14ac:dyDescent="0.2">
      <c r="A150" s="5" t="str">
        <f>HYPERLINK("http://www.patentics.cn/invokexml.do?sf=ShowPatent&amp;spn=CN202234765&amp;sv=3d188fb166779dbd429fc48d6da1a8db","CN202234765")</f>
        <v>CN202234765</v>
      </c>
      <c r="B150" s="3" t="s">
        <v>900</v>
      </c>
      <c r="C150" s="3" t="s">
        <v>901</v>
      </c>
      <c r="D150" s="3" t="s">
        <v>49</v>
      </c>
      <c r="E150" s="3" t="s">
        <v>50</v>
      </c>
      <c r="F150" s="3" t="s">
        <v>902</v>
      </c>
      <c r="G150" s="3" t="s">
        <v>506</v>
      </c>
      <c r="H150" s="3" t="s">
        <v>0</v>
      </c>
      <c r="I150" s="3" t="s">
        <v>903</v>
      </c>
      <c r="J150" s="3" t="s">
        <v>697</v>
      </c>
      <c r="K150" s="3" t="s">
        <v>804</v>
      </c>
      <c r="L150" s="3" t="s">
        <v>904</v>
      </c>
      <c r="M150" s="3">
        <v>12</v>
      </c>
      <c r="N150" s="3">
        <v>14</v>
      </c>
      <c r="O150" s="3" t="s">
        <v>55</v>
      </c>
      <c r="P150" s="3" t="s">
        <v>44</v>
      </c>
      <c r="Q150" s="3">
        <v>0</v>
      </c>
      <c r="R150" s="3">
        <v>0</v>
      </c>
      <c r="S150" s="3">
        <v>0</v>
      </c>
      <c r="T150" s="3">
        <v>0</v>
      </c>
      <c r="U150" s="3">
        <v>2</v>
      </c>
      <c r="V150" s="3" t="s">
        <v>162</v>
      </c>
      <c r="W150" s="3">
        <v>1</v>
      </c>
      <c r="X150" s="3">
        <v>1</v>
      </c>
      <c r="Y150" s="3">
        <v>2</v>
      </c>
      <c r="Z150" s="3">
        <v>1</v>
      </c>
      <c r="AA150" s="3">
        <v>0</v>
      </c>
      <c r="AB150" s="3">
        <v>0</v>
      </c>
      <c r="AC150" s="3">
        <v>12</v>
      </c>
      <c r="AD150" s="3" t="s">
        <v>0</v>
      </c>
      <c r="AE150" s="3" t="s">
        <v>57</v>
      </c>
    </row>
    <row r="151" spans="1:31" ht="25.5" x14ac:dyDescent="0.2">
      <c r="A151" s="4" t="str">
        <f>HYPERLINK("http://www.patentics.cn/invokexml.do?sf=ShowPatent&amp;spn=CN103759393B&amp;sv=6c9c53c5858531adca978190089f02b0","CN103759393B")</f>
        <v>CN103759393B</v>
      </c>
      <c r="B151" s="2" t="s">
        <v>905</v>
      </c>
      <c r="C151" s="2" t="s">
        <v>906</v>
      </c>
      <c r="D151" s="2" t="s">
        <v>35</v>
      </c>
      <c r="E151" s="2" t="s">
        <v>36</v>
      </c>
      <c r="F151" s="2" t="s">
        <v>531</v>
      </c>
      <c r="G151" s="2" t="s">
        <v>531</v>
      </c>
      <c r="H151" s="2" t="s">
        <v>0</v>
      </c>
      <c r="I151" s="2" t="s">
        <v>907</v>
      </c>
      <c r="J151" s="2" t="s">
        <v>908</v>
      </c>
      <c r="K151" s="2" t="s">
        <v>41</v>
      </c>
      <c r="L151" s="2" t="s">
        <v>91</v>
      </c>
      <c r="M151" s="2">
        <v>10</v>
      </c>
      <c r="N151" s="2">
        <v>22</v>
      </c>
      <c r="O151" s="2" t="s">
        <v>43</v>
      </c>
      <c r="P151" s="2" t="s">
        <v>44</v>
      </c>
      <c r="Q151" s="2">
        <v>6</v>
      </c>
      <c r="R151" s="2">
        <v>1</v>
      </c>
      <c r="S151" s="2">
        <v>5</v>
      </c>
      <c r="T151" s="2">
        <v>6</v>
      </c>
      <c r="U151" s="2">
        <v>0</v>
      </c>
      <c r="V151" s="2" t="s">
        <v>45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 t="s">
        <v>0</v>
      </c>
      <c r="AD151" s="2">
        <v>1</v>
      </c>
      <c r="AE151" s="2" t="s">
        <v>46</v>
      </c>
    </row>
    <row r="152" spans="1:31" ht="114.75" x14ac:dyDescent="0.2">
      <c r="A152" s="5" t="str">
        <f>HYPERLINK("http://www.patentics.cn/invokexml.do?sf=ShowPatent&amp;spn=CN102297493&amp;sv=925c2a15f4d6eb203914d86670cdef51","CN102297493")</f>
        <v>CN102297493</v>
      </c>
      <c r="B152" s="3" t="s">
        <v>909</v>
      </c>
      <c r="C152" s="3" t="s">
        <v>910</v>
      </c>
      <c r="D152" s="3" t="s">
        <v>49</v>
      </c>
      <c r="E152" s="3" t="s">
        <v>50</v>
      </c>
      <c r="F152" s="3" t="s">
        <v>911</v>
      </c>
      <c r="G152" s="3" t="s">
        <v>912</v>
      </c>
      <c r="H152" s="3" t="s">
        <v>913</v>
      </c>
      <c r="I152" s="3" t="s">
        <v>913</v>
      </c>
      <c r="J152" s="3" t="s">
        <v>914</v>
      </c>
      <c r="K152" s="3" t="s">
        <v>41</v>
      </c>
      <c r="L152" s="3" t="s">
        <v>91</v>
      </c>
      <c r="M152" s="3">
        <v>10</v>
      </c>
      <c r="N152" s="3">
        <v>9</v>
      </c>
      <c r="O152" s="3" t="s">
        <v>75</v>
      </c>
      <c r="P152" s="3" t="s">
        <v>44</v>
      </c>
      <c r="Q152" s="3">
        <v>0</v>
      </c>
      <c r="R152" s="3">
        <v>0</v>
      </c>
      <c r="S152" s="3">
        <v>0</v>
      </c>
      <c r="T152" s="3">
        <v>0</v>
      </c>
      <c r="U152" s="3">
        <v>1</v>
      </c>
      <c r="V152" s="3" t="s">
        <v>339</v>
      </c>
      <c r="W152" s="3">
        <v>0</v>
      </c>
      <c r="X152" s="3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12</v>
      </c>
      <c r="AD152" s="3" t="s">
        <v>0</v>
      </c>
      <c r="AE152" s="3" t="s">
        <v>46</v>
      </c>
    </row>
    <row r="153" spans="1:31" ht="25.5" x14ac:dyDescent="0.2">
      <c r="A153" s="4" t="str">
        <f>HYPERLINK("http://www.patentics.cn/invokexml.do?sf=ShowPatent&amp;spn=CN103574843B&amp;sv=e9710f8531a070edc5f381f9a1b412b6","CN103574843B")</f>
        <v>CN103574843B</v>
      </c>
      <c r="B153" s="2" t="s">
        <v>915</v>
      </c>
      <c r="C153" s="2" t="s">
        <v>916</v>
      </c>
      <c r="D153" s="2" t="s">
        <v>35</v>
      </c>
      <c r="E153" s="2" t="s">
        <v>36</v>
      </c>
      <c r="F153" s="2" t="s">
        <v>917</v>
      </c>
      <c r="G153" s="2" t="s">
        <v>531</v>
      </c>
      <c r="H153" s="2" t="s">
        <v>0</v>
      </c>
      <c r="I153" s="2" t="s">
        <v>918</v>
      </c>
      <c r="J153" s="2" t="s">
        <v>908</v>
      </c>
      <c r="K153" s="2" t="s">
        <v>41</v>
      </c>
      <c r="L153" s="2" t="s">
        <v>84</v>
      </c>
      <c r="M153" s="2">
        <v>14</v>
      </c>
      <c r="N153" s="2">
        <v>12</v>
      </c>
      <c r="O153" s="2" t="s">
        <v>43</v>
      </c>
      <c r="P153" s="2" t="s">
        <v>44</v>
      </c>
      <c r="Q153" s="2">
        <v>2</v>
      </c>
      <c r="R153" s="2">
        <v>0</v>
      </c>
      <c r="S153" s="2">
        <v>2</v>
      </c>
      <c r="T153" s="2">
        <v>2</v>
      </c>
      <c r="U153" s="2">
        <v>0</v>
      </c>
      <c r="V153" s="2" t="s">
        <v>45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 t="s">
        <v>0</v>
      </c>
      <c r="AD153" s="2">
        <v>1</v>
      </c>
      <c r="AE153" s="2" t="s">
        <v>46</v>
      </c>
    </row>
    <row r="154" spans="1:31" ht="25.5" x14ac:dyDescent="0.2">
      <c r="A154" s="5" t="str">
        <f>HYPERLINK("http://www.patentics.cn/invokexml.do?sf=ShowPatent&amp;spn=CN102878647&amp;sv=4fdad2d11f54de09071f78da8bc7723e","CN102878647")</f>
        <v>CN102878647</v>
      </c>
      <c r="B154" s="3" t="s">
        <v>919</v>
      </c>
      <c r="C154" s="3" t="s">
        <v>920</v>
      </c>
      <c r="D154" s="3" t="s">
        <v>49</v>
      </c>
      <c r="E154" s="3" t="s">
        <v>50</v>
      </c>
      <c r="F154" s="3" t="s">
        <v>921</v>
      </c>
      <c r="G154" s="3" t="s">
        <v>921</v>
      </c>
      <c r="H154" s="3" t="s">
        <v>0</v>
      </c>
      <c r="I154" s="3" t="s">
        <v>922</v>
      </c>
      <c r="J154" s="3" t="s">
        <v>670</v>
      </c>
      <c r="K154" s="3" t="s">
        <v>41</v>
      </c>
      <c r="L154" s="3" t="s">
        <v>91</v>
      </c>
      <c r="M154" s="3">
        <v>10</v>
      </c>
      <c r="N154" s="3">
        <v>18</v>
      </c>
      <c r="O154" s="3" t="s">
        <v>75</v>
      </c>
      <c r="P154" s="3" t="s">
        <v>44</v>
      </c>
      <c r="Q154" s="3">
        <v>0</v>
      </c>
      <c r="R154" s="3">
        <v>0</v>
      </c>
      <c r="S154" s="3">
        <v>0</v>
      </c>
      <c r="T154" s="3">
        <v>0</v>
      </c>
      <c r="U154" s="3">
        <v>1</v>
      </c>
      <c r="V154" s="3" t="s">
        <v>56</v>
      </c>
      <c r="W154" s="3">
        <v>0</v>
      </c>
      <c r="X154" s="3">
        <v>1</v>
      </c>
      <c r="Y154" s="3">
        <v>1</v>
      </c>
      <c r="Z154" s="3">
        <v>1</v>
      </c>
      <c r="AA154" s="3">
        <v>0</v>
      </c>
      <c r="AB154" s="3">
        <v>0</v>
      </c>
      <c r="AC154" s="3">
        <v>12</v>
      </c>
      <c r="AD154" s="3" t="s">
        <v>0</v>
      </c>
      <c r="AE154" s="3" t="s">
        <v>46</v>
      </c>
    </row>
    <row r="155" spans="1:31" ht="51" x14ac:dyDescent="0.2">
      <c r="A155" s="4" t="str">
        <f>HYPERLINK("http://www.patentics.cn/invokexml.do?sf=ShowPatent&amp;spn=CN103307713B&amp;sv=a1ee50c2d6ca4a62f272be6b28ea7235","CN103307713B")</f>
        <v>CN103307713B</v>
      </c>
      <c r="B155" s="2" t="s">
        <v>923</v>
      </c>
      <c r="C155" s="2" t="s">
        <v>924</v>
      </c>
      <c r="D155" s="2" t="s">
        <v>925</v>
      </c>
      <c r="E155" s="2" t="s">
        <v>624</v>
      </c>
      <c r="F155" s="2" t="s">
        <v>926</v>
      </c>
      <c r="G155" s="2" t="s">
        <v>927</v>
      </c>
      <c r="H155" s="2" t="s">
        <v>0</v>
      </c>
      <c r="I155" s="2" t="s">
        <v>928</v>
      </c>
      <c r="J155" s="2" t="s">
        <v>908</v>
      </c>
      <c r="K155" s="2" t="s">
        <v>41</v>
      </c>
      <c r="L155" s="2" t="s">
        <v>728</v>
      </c>
      <c r="M155" s="2">
        <v>11</v>
      </c>
      <c r="N155" s="2">
        <v>17</v>
      </c>
      <c r="O155" s="2" t="s">
        <v>43</v>
      </c>
      <c r="P155" s="2" t="s">
        <v>44</v>
      </c>
      <c r="Q155" s="2">
        <v>5</v>
      </c>
      <c r="R155" s="2">
        <v>0</v>
      </c>
      <c r="S155" s="2">
        <v>5</v>
      </c>
      <c r="T155" s="2">
        <v>5</v>
      </c>
      <c r="U155" s="2">
        <v>0</v>
      </c>
      <c r="V155" s="2" t="s">
        <v>45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 t="s">
        <v>0</v>
      </c>
      <c r="AD155" s="2">
        <v>1</v>
      </c>
      <c r="AE155" s="2" t="s">
        <v>46</v>
      </c>
    </row>
    <row r="156" spans="1:31" ht="51" x14ac:dyDescent="0.2">
      <c r="A156" s="5" t="str">
        <f>HYPERLINK("http://www.patentics.cn/invokexml.do?sf=ShowPatent&amp;spn=CN202709378&amp;sv=7528ca9a385f768d854c52ec8af927c4","CN202709378")</f>
        <v>CN202709378</v>
      </c>
      <c r="B156" s="3" t="s">
        <v>929</v>
      </c>
      <c r="C156" s="3" t="s">
        <v>930</v>
      </c>
      <c r="D156" s="3" t="s">
        <v>49</v>
      </c>
      <c r="E156" s="3" t="s">
        <v>50</v>
      </c>
      <c r="F156" s="3" t="s">
        <v>931</v>
      </c>
      <c r="G156" s="3" t="s">
        <v>932</v>
      </c>
      <c r="H156" s="3" t="s">
        <v>0</v>
      </c>
      <c r="I156" s="3" t="s">
        <v>933</v>
      </c>
      <c r="J156" s="3" t="s">
        <v>934</v>
      </c>
      <c r="K156" s="3" t="s">
        <v>41</v>
      </c>
      <c r="L156" s="3" t="s">
        <v>84</v>
      </c>
      <c r="M156" s="3">
        <v>3</v>
      </c>
      <c r="N156" s="3">
        <v>19</v>
      </c>
      <c r="O156" s="3" t="s">
        <v>55</v>
      </c>
      <c r="P156" s="3" t="s">
        <v>44</v>
      </c>
      <c r="Q156" s="3">
        <v>0</v>
      </c>
      <c r="R156" s="3">
        <v>0</v>
      </c>
      <c r="S156" s="3">
        <v>0</v>
      </c>
      <c r="T156" s="3">
        <v>0</v>
      </c>
      <c r="U156" s="3">
        <v>2</v>
      </c>
      <c r="V156" s="3" t="s">
        <v>935</v>
      </c>
      <c r="W156" s="3">
        <v>0</v>
      </c>
      <c r="X156" s="3">
        <v>2</v>
      </c>
      <c r="Y156" s="3">
        <v>2</v>
      </c>
      <c r="Z156" s="3">
        <v>1</v>
      </c>
      <c r="AA156" s="3">
        <v>0</v>
      </c>
      <c r="AB156" s="3">
        <v>0</v>
      </c>
      <c r="AC156" s="3">
        <v>12</v>
      </c>
      <c r="AD156" s="3" t="s">
        <v>0</v>
      </c>
      <c r="AE156" s="3" t="s">
        <v>46</v>
      </c>
    </row>
    <row r="157" spans="1:31" ht="25.5" x14ac:dyDescent="0.2">
      <c r="A157" s="4" t="str">
        <f>HYPERLINK("http://www.patentics.cn/invokexml.do?sf=ShowPatent&amp;spn=CN103868299B&amp;sv=675be7bc028c63002f982aab5ab193f5","CN103868299B")</f>
        <v>CN103868299B</v>
      </c>
      <c r="B157" s="2" t="s">
        <v>936</v>
      </c>
      <c r="C157" s="2" t="s">
        <v>937</v>
      </c>
      <c r="D157" s="2" t="s">
        <v>79</v>
      </c>
      <c r="E157" s="2" t="s">
        <v>36</v>
      </c>
      <c r="F157" s="2" t="s">
        <v>938</v>
      </c>
      <c r="G157" s="2" t="s">
        <v>939</v>
      </c>
      <c r="H157" s="2" t="s">
        <v>0</v>
      </c>
      <c r="I157" s="2" t="s">
        <v>940</v>
      </c>
      <c r="J157" s="2" t="s">
        <v>908</v>
      </c>
      <c r="K157" s="2" t="s">
        <v>347</v>
      </c>
      <c r="L157" s="2" t="s">
        <v>354</v>
      </c>
      <c r="M157" s="2">
        <v>10</v>
      </c>
      <c r="N157" s="2">
        <v>12</v>
      </c>
      <c r="O157" s="2" t="s">
        <v>43</v>
      </c>
      <c r="P157" s="2" t="s">
        <v>44</v>
      </c>
      <c r="Q157" s="2">
        <v>5</v>
      </c>
      <c r="R157" s="2">
        <v>0</v>
      </c>
      <c r="S157" s="2">
        <v>5</v>
      </c>
      <c r="T157" s="2">
        <v>3</v>
      </c>
      <c r="U157" s="2">
        <v>0</v>
      </c>
      <c r="V157" s="2" t="s">
        <v>45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 t="s">
        <v>0</v>
      </c>
      <c r="AD157" s="2">
        <v>1</v>
      </c>
      <c r="AE157" s="2" t="s">
        <v>46</v>
      </c>
    </row>
    <row r="158" spans="1:31" ht="25.5" x14ac:dyDescent="0.2">
      <c r="A158" s="5" t="str">
        <f>HYPERLINK("http://www.patentics.cn/invokexml.do?sf=ShowPatent&amp;spn=CN101446463&amp;sv=fb5f60bfb78d968f736572d89e44372e","CN101446463")</f>
        <v>CN101446463</v>
      </c>
      <c r="B158" s="3" t="s">
        <v>941</v>
      </c>
      <c r="C158" s="3" t="s">
        <v>942</v>
      </c>
      <c r="D158" s="3" t="s">
        <v>49</v>
      </c>
      <c r="E158" s="3" t="s">
        <v>50</v>
      </c>
      <c r="F158" s="3" t="s">
        <v>943</v>
      </c>
      <c r="G158" s="3" t="s">
        <v>944</v>
      </c>
      <c r="H158" s="3" t="s">
        <v>945</v>
      </c>
      <c r="I158" s="3" t="s">
        <v>945</v>
      </c>
      <c r="J158" s="3" t="s">
        <v>946</v>
      </c>
      <c r="K158" s="3" t="s">
        <v>347</v>
      </c>
      <c r="L158" s="3" t="s">
        <v>354</v>
      </c>
      <c r="M158" s="3">
        <v>14</v>
      </c>
      <c r="N158" s="3">
        <v>16</v>
      </c>
      <c r="O158" s="3" t="s">
        <v>75</v>
      </c>
      <c r="P158" s="3" t="s">
        <v>44</v>
      </c>
      <c r="Q158" s="3">
        <v>0</v>
      </c>
      <c r="R158" s="3">
        <v>0</v>
      </c>
      <c r="S158" s="3">
        <v>0</v>
      </c>
      <c r="T158" s="3">
        <v>0</v>
      </c>
      <c r="U158" s="3">
        <v>10</v>
      </c>
      <c r="V158" s="3" t="s">
        <v>947</v>
      </c>
      <c r="W158" s="3">
        <v>0</v>
      </c>
      <c r="X158" s="3">
        <v>10</v>
      </c>
      <c r="Y158" s="3">
        <v>6</v>
      </c>
      <c r="Z158" s="3">
        <v>1</v>
      </c>
      <c r="AA158" s="3">
        <v>1</v>
      </c>
      <c r="AB158" s="3">
        <v>1</v>
      </c>
      <c r="AC158" s="3">
        <v>12</v>
      </c>
      <c r="AD158" s="3" t="s">
        <v>0</v>
      </c>
      <c r="AE158" s="3" t="s">
        <v>46</v>
      </c>
    </row>
    <row r="159" spans="1:31" ht="25.5" x14ac:dyDescent="0.2">
      <c r="A159" s="4" t="str">
        <f>HYPERLINK("http://www.patentics.cn/invokexml.do?sf=ShowPatent&amp;spn=CN103411269B&amp;sv=c3179602de5854632203c3dbc0b28917","CN103411269B")</f>
        <v>CN103411269B</v>
      </c>
      <c r="B159" s="2" t="s">
        <v>948</v>
      </c>
      <c r="C159" s="2" t="s">
        <v>949</v>
      </c>
      <c r="D159" s="2" t="s">
        <v>35</v>
      </c>
      <c r="E159" s="2" t="s">
        <v>36</v>
      </c>
      <c r="F159" s="2" t="s">
        <v>950</v>
      </c>
      <c r="G159" s="2" t="s">
        <v>950</v>
      </c>
      <c r="H159" s="2" t="s">
        <v>0</v>
      </c>
      <c r="I159" s="2" t="s">
        <v>951</v>
      </c>
      <c r="J159" s="2" t="s">
        <v>952</v>
      </c>
      <c r="K159" s="2" t="s">
        <v>41</v>
      </c>
      <c r="L159" s="2" t="s">
        <v>42</v>
      </c>
      <c r="M159" s="2">
        <v>13</v>
      </c>
      <c r="N159" s="2">
        <v>25</v>
      </c>
      <c r="O159" s="2" t="s">
        <v>43</v>
      </c>
      <c r="P159" s="2" t="s">
        <v>44</v>
      </c>
      <c r="Q159" s="2">
        <v>4</v>
      </c>
      <c r="R159" s="2">
        <v>1</v>
      </c>
      <c r="S159" s="2">
        <v>3</v>
      </c>
      <c r="T159" s="2">
        <v>4</v>
      </c>
      <c r="U159" s="2">
        <v>0</v>
      </c>
      <c r="V159" s="2" t="s">
        <v>45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 t="s">
        <v>0</v>
      </c>
      <c r="AD159" s="2">
        <v>1</v>
      </c>
      <c r="AE159" s="2" t="s">
        <v>46</v>
      </c>
    </row>
    <row r="160" spans="1:31" ht="89.25" x14ac:dyDescent="0.2">
      <c r="A160" s="5" t="str">
        <f>HYPERLINK("http://www.patentics.cn/invokexml.do?sf=ShowPatent&amp;spn=CN202993386&amp;sv=1aaa312f9badeca038f722e2e9037b50","CN202993386")</f>
        <v>CN202993386</v>
      </c>
      <c r="B160" s="3" t="s">
        <v>953</v>
      </c>
      <c r="C160" s="3" t="s">
        <v>954</v>
      </c>
      <c r="D160" s="3" t="s">
        <v>49</v>
      </c>
      <c r="E160" s="3" t="s">
        <v>50</v>
      </c>
      <c r="F160" s="3" t="s">
        <v>955</v>
      </c>
      <c r="G160" s="3" t="s">
        <v>467</v>
      </c>
      <c r="H160" s="3" t="s">
        <v>0</v>
      </c>
      <c r="I160" s="3" t="s">
        <v>956</v>
      </c>
      <c r="J160" s="3" t="s">
        <v>372</v>
      </c>
      <c r="K160" s="3" t="s">
        <v>41</v>
      </c>
      <c r="L160" s="3" t="s">
        <v>42</v>
      </c>
      <c r="M160" s="3">
        <v>10</v>
      </c>
      <c r="N160" s="3">
        <v>14</v>
      </c>
      <c r="O160" s="3" t="s">
        <v>55</v>
      </c>
      <c r="P160" s="3" t="s">
        <v>44</v>
      </c>
      <c r="Q160" s="3">
        <v>0</v>
      </c>
      <c r="R160" s="3">
        <v>0</v>
      </c>
      <c r="S160" s="3">
        <v>0</v>
      </c>
      <c r="T160" s="3">
        <v>0</v>
      </c>
      <c r="U160" s="3">
        <v>1</v>
      </c>
      <c r="V160" s="3" t="s">
        <v>284</v>
      </c>
      <c r="W160" s="3">
        <v>0</v>
      </c>
      <c r="X160" s="3">
        <v>1</v>
      </c>
      <c r="Y160" s="3">
        <v>1</v>
      </c>
      <c r="Z160" s="3">
        <v>1</v>
      </c>
      <c r="AA160" s="3">
        <v>0</v>
      </c>
      <c r="AB160" s="3">
        <v>0</v>
      </c>
      <c r="AC160" s="3">
        <v>12</v>
      </c>
      <c r="AD160" s="3" t="s">
        <v>0</v>
      </c>
      <c r="AE160" s="3" t="s">
        <v>46</v>
      </c>
    </row>
    <row r="161" spans="1:31" x14ac:dyDescent="0.2">
      <c r="A161" s="4" t="str">
        <f>HYPERLINK("http://www.patentics.cn/invokexml.do?sf=ShowPatent&amp;spn=CN103363621B&amp;sv=b6f37eb2fd282386b80c2539359780f6","CN103363621B")</f>
        <v>CN103363621B</v>
      </c>
      <c r="B161" s="2" t="s">
        <v>957</v>
      </c>
      <c r="C161" s="2" t="s">
        <v>958</v>
      </c>
      <c r="D161" s="2" t="s">
        <v>79</v>
      </c>
      <c r="E161" s="2" t="s">
        <v>36</v>
      </c>
      <c r="F161" s="2" t="s">
        <v>959</v>
      </c>
      <c r="G161" s="2" t="s">
        <v>959</v>
      </c>
      <c r="H161" s="2" t="s">
        <v>0</v>
      </c>
      <c r="I161" s="2" t="s">
        <v>960</v>
      </c>
      <c r="J161" s="2" t="s">
        <v>952</v>
      </c>
      <c r="K161" s="2" t="s">
        <v>41</v>
      </c>
      <c r="L161" s="2" t="s">
        <v>84</v>
      </c>
      <c r="M161" s="2">
        <v>9</v>
      </c>
      <c r="N161" s="2">
        <v>24</v>
      </c>
      <c r="O161" s="2" t="s">
        <v>43</v>
      </c>
      <c r="P161" s="2" t="s">
        <v>44</v>
      </c>
      <c r="Q161" s="2">
        <v>2</v>
      </c>
      <c r="R161" s="2">
        <v>0</v>
      </c>
      <c r="S161" s="2">
        <v>2</v>
      </c>
      <c r="T161" s="2">
        <v>2</v>
      </c>
      <c r="U161" s="2">
        <v>0</v>
      </c>
      <c r="V161" s="2" t="s">
        <v>45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 t="s">
        <v>0</v>
      </c>
      <c r="AD161" s="2">
        <v>1</v>
      </c>
      <c r="AE161" s="2" t="s">
        <v>46</v>
      </c>
    </row>
    <row r="162" spans="1:31" ht="51" x14ac:dyDescent="0.2">
      <c r="A162" s="5" t="str">
        <f>HYPERLINK("http://www.patentics.cn/invokexml.do?sf=ShowPatent&amp;spn=CN102032642&amp;sv=108a1d63b635c81e249c34e28464dd95","CN102032642")</f>
        <v>CN102032642</v>
      </c>
      <c r="B162" s="3" t="s">
        <v>704</v>
      </c>
      <c r="C162" s="3" t="s">
        <v>705</v>
      </c>
      <c r="D162" s="3" t="s">
        <v>49</v>
      </c>
      <c r="E162" s="3" t="s">
        <v>50</v>
      </c>
      <c r="F162" s="3" t="s">
        <v>706</v>
      </c>
      <c r="G162" s="3" t="s">
        <v>506</v>
      </c>
      <c r="H162" s="3" t="s">
        <v>707</v>
      </c>
      <c r="I162" s="3" t="s">
        <v>707</v>
      </c>
      <c r="J162" s="3" t="s">
        <v>708</v>
      </c>
      <c r="K162" s="3" t="s">
        <v>41</v>
      </c>
      <c r="L162" s="3" t="s">
        <v>84</v>
      </c>
      <c r="M162" s="3">
        <v>9</v>
      </c>
      <c r="N162" s="3">
        <v>19</v>
      </c>
      <c r="O162" s="3" t="s">
        <v>75</v>
      </c>
      <c r="P162" s="3" t="s">
        <v>44</v>
      </c>
      <c r="Q162" s="3">
        <v>0</v>
      </c>
      <c r="R162" s="3">
        <v>0</v>
      </c>
      <c r="S162" s="3">
        <v>0</v>
      </c>
      <c r="T162" s="3">
        <v>0</v>
      </c>
      <c r="U162" s="3">
        <v>5</v>
      </c>
      <c r="V162" s="3" t="s">
        <v>709</v>
      </c>
      <c r="W162" s="3">
        <v>1</v>
      </c>
      <c r="X162" s="3">
        <v>4</v>
      </c>
      <c r="Y162" s="3">
        <v>2</v>
      </c>
      <c r="Z162" s="3">
        <v>1</v>
      </c>
      <c r="AA162" s="3">
        <v>1</v>
      </c>
      <c r="AB162" s="3">
        <v>1</v>
      </c>
      <c r="AC162" s="3">
        <v>12</v>
      </c>
      <c r="AD162" s="3" t="s">
        <v>0</v>
      </c>
      <c r="AE162" s="3" t="s">
        <v>46</v>
      </c>
    </row>
    <row r="163" spans="1:31" ht="25.5" x14ac:dyDescent="0.2">
      <c r="A163" s="4" t="str">
        <f>HYPERLINK("http://www.patentics.cn/invokexml.do?sf=ShowPatent&amp;spn=CN103822304B&amp;sv=c32f04a7293cbda9088db5dcd449f95b","CN103822304B")</f>
        <v>CN103822304B</v>
      </c>
      <c r="B163" s="2" t="s">
        <v>961</v>
      </c>
      <c r="C163" s="2" t="s">
        <v>962</v>
      </c>
      <c r="D163" s="2" t="s">
        <v>35</v>
      </c>
      <c r="E163" s="2" t="s">
        <v>36</v>
      </c>
      <c r="F163" s="2" t="s">
        <v>963</v>
      </c>
      <c r="G163" s="2" t="s">
        <v>963</v>
      </c>
      <c r="H163" s="2" t="s">
        <v>0</v>
      </c>
      <c r="I163" s="2" t="s">
        <v>964</v>
      </c>
      <c r="J163" s="2" t="s">
        <v>40</v>
      </c>
      <c r="K163" s="2" t="s">
        <v>41</v>
      </c>
      <c r="L163" s="2" t="s">
        <v>42</v>
      </c>
      <c r="M163" s="2">
        <v>9</v>
      </c>
      <c r="N163" s="2">
        <v>33</v>
      </c>
      <c r="O163" s="2" t="s">
        <v>43</v>
      </c>
      <c r="P163" s="2" t="s">
        <v>44</v>
      </c>
      <c r="Q163" s="2">
        <v>3</v>
      </c>
      <c r="R163" s="2">
        <v>2</v>
      </c>
      <c r="S163" s="2">
        <v>1</v>
      </c>
      <c r="T163" s="2">
        <v>2</v>
      </c>
      <c r="U163" s="2">
        <v>0</v>
      </c>
      <c r="V163" s="2" t="s">
        <v>45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 t="s">
        <v>0</v>
      </c>
      <c r="AD163" s="2">
        <v>1</v>
      </c>
      <c r="AE163" s="2" t="s">
        <v>46</v>
      </c>
    </row>
    <row r="164" spans="1:31" ht="38.25" x14ac:dyDescent="0.2">
      <c r="A164" s="5" t="str">
        <f>HYPERLINK("http://www.patentics.cn/invokexml.do?sf=ShowPatent&amp;spn=CN203175900&amp;sv=159e60ba7ce5654058adc13c71ab2c26","CN203175900")</f>
        <v>CN203175900</v>
      </c>
      <c r="B164" s="3" t="s">
        <v>965</v>
      </c>
      <c r="C164" s="3" t="s">
        <v>966</v>
      </c>
      <c r="D164" s="3" t="s">
        <v>793</v>
      </c>
      <c r="E164" s="3" t="s">
        <v>190</v>
      </c>
      <c r="F164" s="3" t="s">
        <v>967</v>
      </c>
      <c r="G164" s="3" t="s">
        <v>968</v>
      </c>
      <c r="H164" s="3" t="s">
        <v>0</v>
      </c>
      <c r="I164" s="3" t="s">
        <v>969</v>
      </c>
      <c r="J164" s="3" t="s">
        <v>970</v>
      </c>
      <c r="K164" s="3" t="s">
        <v>789</v>
      </c>
      <c r="L164" s="3" t="s">
        <v>971</v>
      </c>
      <c r="M164" s="3">
        <v>5</v>
      </c>
      <c r="N164" s="3">
        <v>16</v>
      </c>
      <c r="O164" s="3" t="s">
        <v>55</v>
      </c>
      <c r="P164" s="3" t="s">
        <v>44</v>
      </c>
      <c r="Q164" s="3">
        <v>3</v>
      </c>
      <c r="R164" s="3">
        <v>0</v>
      </c>
      <c r="S164" s="3">
        <v>3</v>
      </c>
      <c r="T164" s="3">
        <v>3</v>
      </c>
      <c r="U164" s="3">
        <v>1</v>
      </c>
      <c r="V164" s="3" t="s">
        <v>256</v>
      </c>
      <c r="W164" s="3">
        <v>0</v>
      </c>
      <c r="X164" s="3">
        <v>1</v>
      </c>
      <c r="Y164" s="3">
        <v>1</v>
      </c>
      <c r="Z164" s="3">
        <v>1</v>
      </c>
      <c r="AA164" s="3">
        <v>0</v>
      </c>
      <c r="AB164" s="3">
        <v>0</v>
      </c>
      <c r="AC164" s="3">
        <v>12</v>
      </c>
      <c r="AD164" s="3" t="s">
        <v>0</v>
      </c>
      <c r="AE164" s="3" t="s">
        <v>46</v>
      </c>
    </row>
    <row r="165" spans="1:31" ht="51" x14ac:dyDescent="0.2">
      <c r="A165" s="4" t="str">
        <f>HYPERLINK("http://www.patentics.cn/invokexml.do?sf=ShowPatent&amp;spn=CN103735174B&amp;sv=ebfb8c86f5f052bf8ef51e0bf1ed09bb","CN103735174B")</f>
        <v>CN103735174B</v>
      </c>
      <c r="B165" s="2" t="s">
        <v>972</v>
      </c>
      <c r="C165" s="2" t="s">
        <v>973</v>
      </c>
      <c r="D165" s="2" t="s">
        <v>974</v>
      </c>
      <c r="E165" s="2" t="s">
        <v>624</v>
      </c>
      <c r="F165" s="2" t="s">
        <v>975</v>
      </c>
      <c r="G165" s="2" t="s">
        <v>976</v>
      </c>
      <c r="H165" s="2" t="s">
        <v>0</v>
      </c>
      <c r="I165" s="2" t="s">
        <v>977</v>
      </c>
      <c r="J165" s="2" t="s">
        <v>40</v>
      </c>
      <c r="K165" s="2" t="s">
        <v>804</v>
      </c>
      <c r="L165" s="2" t="s">
        <v>978</v>
      </c>
      <c r="M165" s="2">
        <v>9</v>
      </c>
      <c r="N165" s="2">
        <v>17</v>
      </c>
      <c r="O165" s="2" t="s">
        <v>43</v>
      </c>
      <c r="P165" s="2" t="s">
        <v>44</v>
      </c>
      <c r="Q165" s="2">
        <v>8</v>
      </c>
      <c r="R165" s="2">
        <v>3</v>
      </c>
      <c r="S165" s="2">
        <v>5</v>
      </c>
      <c r="T165" s="2">
        <v>6</v>
      </c>
      <c r="U165" s="2">
        <v>0</v>
      </c>
      <c r="V165" s="2" t="s">
        <v>45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 t="s">
        <v>0</v>
      </c>
      <c r="AD165" s="2">
        <v>1</v>
      </c>
      <c r="AE165" s="2" t="s">
        <v>46</v>
      </c>
    </row>
    <row r="166" spans="1:31" ht="76.5" x14ac:dyDescent="0.2">
      <c r="A166" s="5" t="str">
        <f>HYPERLINK("http://www.patentics.cn/invokexml.do?sf=ShowPatent&amp;spn=CN202960161&amp;sv=754fe401a3446e166dd1ee854a1eadb4","CN202960161")</f>
        <v>CN202960161</v>
      </c>
      <c r="B166" s="3" t="s">
        <v>979</v>
      </c>
      <c r="C166" s="3" t="s">
        <v>980</v>
      </c>
      <c r="D166" s="3" t="s">
        <v>793</v>
      </c>
      <c r="E166" s="3" t="s">
        <v>190</v>
      </c>
      <c r="F166" s="3" t="s">
        <v>981</v>
      </c>
      <c r="G166" s="3" t="s">
        <v>982</v>
      </c>
      <c r="H166" s="3" t="s">
        <v>0</v>
      </c>
      <c r="I166" s="3" t="s">
        <v>173</v>
      </c>
      <c r="J166" s="3" t="s">
        <v>983</v>
      </c>
      <c r="K166" s="3" t="s">
        <v>804</v>
      </c>
      <c r="L166" s="3" t="s">
        <v>984</v>
      </c>
      <c r="M166" s="3">
        <v>10</v>
      </c>
      <c r="N166" s="3">
        <v>16</v>
      </c>
      <c r="O166" s="3" t="s">
        <v>55</v>
      </c>
      <c r="P166" s="3" t="s">
        <v>44</v>
      </c>
      <c r="Q166" s="3">
        <v>0</v>
      </c>
      <c r="R166" s="3">
        <v>0</v>
      </c>
      <c r="S166" s="3">
        <v>0</v>
      </c>
      <c r="T166" s="3">
        <v>0</v>
      </c>
      <c r="U166" s="3">
        <v>1</v>
      </c>
      <c r="V166" s="3" t="s">
        <v>113</v>
      </c>
      <c r="W166" s="3">
        <v>0</v>
      </c>
      <c r="X166" s="3">
        <v>1</v>
      </c>
      <c r="Y166" s="3">
        <v>1</v>
      </c>
      <c r="Z166" s="3">
        <v>1</v>
      </c>
      <c r="AA166" s="3">
        <v>0</v>
      </c>
      <c r="AB166" s="3">
        <v>0</v>
      </c>
      <c r="AC166" s="3">
        <v>12</v>
      </c>
      <c r="AD166" s="3" t="s">
        <v>0</v>
      </c>
      <c r="AE166" s="3" t="s">
        <v>46</v>
      </c>
    </row>
    <row r="167" spans="1:31" ht="38.25" x14ac:dyDescent="0.2">
      <c r="A167" s="4" t="str">
        <f>HYPERLINK("http://www.patentics.cn/invokexml.do?sf=ShowPatent&amp;spn=CN103919468B&amp;sv=df742cb591135fd86ab80c2e25014aa2","CN103919468B")</f>
        <v>CN103919468B</v>
      </c>
      <c r="B167" s="2" t="s">
        <v>985</v>
      </c>
      <c r="C167" s="2" t="s">
        <v>986</v>
      </c>
      <c r="D167" s="2" t="s">
        <v>987</v>
      </c>
      <c r="E167" s="2" t="s">
        <v>624</v>
      </c>
      <c r="F167" s="2" t="s">
        <v>988</v>
      </c>
      <c r="G167" s="2" t="s">
        <v>989</v>
      </c>
      <c r="H167" s="2" t="s">
        <v>0</v>
      </c>
      <c r="I167" s="2" t="s">
        <v>990</v>
      </c>
      <c r="J167" s="2" t="s">
        <v>40</v>
      </c>
      <c r="K167" s="2" t="s">
        <v>804</v>
      </c>
      <c r="L167" s="2" t="s">
        <v>991</v>
      </c>
      <c r="M167" s="2">
        <v>11</v>
      </c>
      <c r="N167" s="2">
        <v>14</v>
      </c>
      <c r="O167" s="2" t="s">
        <v>43</v>
      </c>
      <c r="P167" s="2" t="s">
        <v>44</v>
      </c>
      <c r="Q167" s="2">
        <v>14</v>
      </c>
      <c r="R167" s="2">
        <v>1</v>
      </c>
      <c r="S167" s="2">
        <v>13</v>
      </c>
      <c r="T167" s="2">
        <v>12</v>
      </c>
      <c r="U167" s="2">
        <v>0</v>
      </c>
      <c r="V167" s="2" t="s">
        <v>45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 t="s">
        <v>0</v>
      </c>
      <c r="AD167" s="2">
        <v>1</v>
      </c>
      <c r="AE167" s="2" t="s">
        <v>46</v>
      </c>
    </row>
    <row r="168" spans="1:31" ht="25.5" x14ac:dyDescent="0.2">
      <c r="A168" s="5" t="str">
        <f>HYPERLINK("http://www.patentics.cn/invokexml.do?sf=ShowPatent&amp;spn=CN102401181&amp;sv=1778761c40314e74173e469c34622747","CN102401181")</f>
        <v>CN102401181</v>
      </c>
      <c r="B168" s="3" t="s">
        <v>992</v>
      </c>
      <c r="C168" s="3" t="s">
        <v>986</v>
      </c>
      <c r="D168" s="3" t="s">
        <v>49</v>
      </c>
      <c r="E168" s="3" t="s">
        <v>50</v>
      </c>
      <c r="F168" s="3" t="s">
        <v>993</v>
      </c>
      <c r="G168" s="3" t="s">
        <v>894</v>
      </c>
      <c r="H168" s="3" t="s">
        <v>0</v>
      </c>
      <c r="I168" s="3" t="s">
        <v>994</v>
      </c>
      <c r="J168" s="3" t="s">
        <v>995</v>
      </c>
      <c r="K168" s="3" t="s">
        <v>996</v>
      </c>
      <c r="L168" s="3" t="s">
        <v>997</v>
      </c>
      <c r="M168" s="3">
        <v>7</v>
      </c>
      <c r="N168" s="3">
        <v>15</v>
      </c>
      <c r="O168" s="3" t="s">
        <v>75</v>
      </c>
      <c r="P168" s="3" t="s">
        <v>44</v>
      </c>
      <c r="Q168" s="3">
        <v>0</v>
      </c>
      <c r="R168" s="3">
        <v>0</v>
      </c>
      <c r="S168" s="3">
        <v>0</v>
      </c>
      <c r="T168" s="3">
        <v>0</v>
      </c>
      <c r="U168" s="3">
        <v>1</v>
      </c>
      <c r="V168" s="3" t="s">
        <v>998</v>
      </c>
      <c r="W168" s="3">
        <v>0</v>
      </c>
      <c r="X168" s="3">
        <v>1</v>
      </c>
      <c r="Y168" s="3">
        <v>1</v>
      </c>
      <c r="Z168" s="3">
        <v>1</v>
      </c>
      <c r="AA168" s="3">
        <v>0</v>
      </c>
      <c r="AB168" s="3">
        <v>0</v>
      </c>
      <c r="AC168" s="3">
        <v>12</v>
      </c>
      <c r="AD168" s="3" t="s">
        <v>0</v>
      </c>
      <c r="AE168" s="3" t="s">
        <v>46</v>
      </c>
    </row>
    <row r="169" spans="1:31" ht="38.25" x14ac:dyDescent="0.2">
      <c r="A169" s="4" t="str">
        <f>HYPERLINK("http://www.patentics.cn/invokexml.do?sf=ShowPatent&amp;spn=CN102345917B&amp;sv=f6f75059adb0ec89c8ee2d5e3a970c94","CN102345917B")</f>
        <v>CN102345917B</v>
      </c>
      <c r="B169" s="2" t="s">
        <v>999</v>
      </c>
      <c r="C169" s="2" t="s">
        <v>1000</v>
      </c>
      <c r="D169" s="2" t="s">
        <v>79</v>
      </c>
      <c r="E169" s="2" t="s">
        <v>36</v>
      </c>
      <c r="F169" s="2" t="s">
        <v>1001</v>
      </c>
      <c r="G169" s="2" t="s">
        <v>1002</v>
      </c>
      <c r="H169" s="2" t="s">
        <v>0</v>
      </c>
      <c r="I169" s="2" t="s">
        <v>1003</v>
      </c>
      <c r="J169" s="2" t="s">
        <v>40</v>
      </c>
      <c r="K169" s="2" t="s">
        <v>41</v>
      </c>
      <c r="L169" s="2" t="s">
        <v>84</v>
      </c>
      <c r="M169" s="2">
        <v>9</v>
      </c>
      <c r="N169" s="2">
        <v>41</v>
      </c>
      <c r="O169" s="2" t="s">
        <v>43</v>
      </c>
      <c r="P169" s="2" t="s">
        <v>44</v>
      </c>
      <c r="Q169" s="2">
        <v>2</v>
      </c>
      <c r="R169" s="2">
        <v>0</v>
      </c>
      <c r="S169" s="2">
        <v>2</v>
      </c>
      <c r="T169" s="2">
        <v>2</v>
      </c>
      <c r="U169" s="2">
        <v>0</v>
      </c>
      <c r="V169" s="2" t="s">
        <v>45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 t="s">
        <v>0</v>
      </c>
      <c r="AD169" s="2">
        <v>1</v>
      </c>
      <c r="AE169" s="2" t="s">
        <v>46</v>
      </c>
    </row>
    <row r="170" spans="1:31" ht="51" x14ac:dyDescent="0.2">
      <c r="A170" s="5" t="str">
        <f>HYPERLINK("http://www.patentics.cn/invokexml.do?sf=ShowPatent&amp;spn=CN102147140&amp;sv=56ddbe918c3a3fb93fd3055ec3a8e0b7","CN102147140")</f>
        <v>CN102147140</v>
      </c>
      <c r="B170" s="3" t="s">
        <v>1004</v>
      </c>
      <c r="C170" s="3" t="s">
        <v>1005</v>
      </c>
      <c r="D170" s="3" t="s">
        <v>49</v>
      </c>
      <c r="E170" s="3" t="s">
        <v>50</v>
      </c>
      <c r="F170" s="3" t="s">
        <v>1006</v>
      </c>
      <c r="G170" s="3" t="s">
        <v>52</v>
      </c>
      <c r="H170" s="3" t="s">
        <v>1007</v>
      </c>
      <c r="I170" s="3" t="s">
        <v>1007</v>
      </c>
      <c r="J170" s="3" t="s">
        <v>106</v>
      </c>
      <c r="K170" s="3" t="s">
        <v>41</v>
      </c>
      <c r="L170" s="3" t="s">
        <v>84</v>
      </c>
      <c r="M170" s="3">
        <v>8</v>
      </c>
      <c r="N170" s="3">
        <v>26</v>
      </c>
      <c r="O170" s="3" t="s">
        <v>75</v>
      </c>
      <c r="P170" s="3" t="s">
        <v>44</v>
      </c>
      <c r="Q170" s="3">
        <v>0</v>
      </c>
      <c r="R170" s="3">
        <v>0</v>
      </c>
      <c r="S170" s="3">
        <v>0</v>
      </c>
      <c r="T170" s="3">
        <v>0</v>
      </c>
      <c r="U170" s="3">
        <v>3</v>
      </c>
      <c r="V170" s="3" t="s">
        <v>539</v>
      </c>
      <c r="W170" s="3">
        <v>0</v>
      </c>
      <c r="X170" s="3">
        <v>3</v>
      </c>
      <c r="Y170" s="3">
        <v>2</v>
      </c>
      <c r="Z170" s="3">
        <v>1</v>
      </c>
      <c r="AA170" s="3">
        <v>1</v>
      </c>
      <c r="AB170" s="3">
        <v>1</v>
      </c>
      <c r="AC170" s="3">
        <v>12</v>
      </c>
      <c r="AD170" s="3" t="s">
        <v>0</v>
      </c>
      <c r="AE170" s="3" t="s">
        <v>46</v>
      </c>
    </row>
    <row r="171" spans="1:31" ht="25.5" x14ac:dyDescent="0.2">
      <c r="A171" s="4" t="str">
        <f>HYPERLINK("http://www.patentics.cn/invokexml.do?sf=ShowPatent&amp;spn=CN102410672B&amp;sv=d6818f3a3a575ed4249783c054343747","CN102410672B")</f>
        <v>CN102410672B</v>
      </c>
      <c r="B171" s="2" t="s">
        <v>1008</v>
      </c>
      <c r="C171" s="2" t="s">
        <v>1009</v>
      </c>
      <c r="D171" s="2" t="s">
        <v>35</v>
      </c>
      <c r="E171" s="2" t="s">
        <v>36</v>
      </c>
      <c r="F171" s="2" t="s">
        <v>1010</v>
      </c>
      <c r="G171" s="2" t="s">
        <v>531</v>
      </c>
      <c r="H171" s="2" t="s">
        <v>0</v>
      </c>
      <c r="I171" s="2" t="s">
        <v>903</v>
      </c>
      <c r="J171" s="2" t="s">
        <v>40</v>
      </c>
      <c r="K171" s="2" t="s">
        <v>347</v>
      </c>
      <c r="L171" s="2" t="s">
        <v>1011</v>
      </c>
      <c r="M171" s="2">
        <v>12</v>
      </c>
      <c r="N171" s="2">
        <v>17</v>
      </c>
      <c r="O171" s="2" t="s">
        <v>43</v>
      </c>
      <c r="P171" s="2" t="s">
        <v>44</v>
      </c>
      <c r="Q171" s="2">
        <v>5</v>
      </c>
      <c r="R171" s="2">
        <v>1</v>
      </c>
      <c r="S171" s="2">
        <v>4</v>
      </c>
      <c r="T171" s="2">
        <v>4</v>
      </c>
      <c r="U171" s="2">
        <v>0</v>
      </c>
      <c r="V171" s="2" t="s">
        <v>45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 t="s">
        <v>0</v>
      </c>
      <c r="AD171" s="2">
        <v>1</v>
      </c>
      <c r="AE171" s="2" t="s">
        <v>46</v>
      </c>
    </row>
    <row r="172" spans="1:31" ht="25.5" x14ac:dyDescent="0.2">
      <c r="A172" s="5" t="str">
        <f>HYPERLINK("http://www.patentics.cn/invokexml.do?sf=ShowPatent&amp;spn=CN201876184&amp;sv=218832072ef095f19b1721b94350c7ea","CN201876184")</f>
        <v>CN201876184</v>
      </c>
      <c r="B172" s="3" t="s">
        <v>1012</v>
      </c>
      <c r="C172" s="3" t="s">
        <v>1013</v>
      </c>
      <c r="D172" s="3" t="s">
        <v>49</v>
      </c>
      <c r="E172" s="3" t="s">
        <v>50</v>
      </c>
      <c r="F172" s="3" t="s">
        <v>1014</v>
      </c>
      <c r="G172" s="3" t="s">
        <v>1015</v>
      </c>
      <c r="H172" s="3" t="s">
        <v>0</v>
      </c>
      <c r="I172" s="3" t="s">
        <v>90</v>
      </c>
      <c r="J172" s="3" t="s">
        <v>1016</v>
      </c>
      <c r="K172" s="3" t="s">
        <v>1017</v>
      </c>
      <c r="L172" s="3" t="s">
        <v>1018</v>
      </c>
      <c r="M172" s="3">
        <v>10</v>
      </c>
      <c r="N172" s="3">
        <v>8</v>
      </c>
      <c r="O172" s="3" t="s">
        <v>55</v>
      </c>
      <c r="P172" s="3" t="s">
        <v>44</v>
      </c>
      <c r="Q172" s="3">
        <v>0</v>
      </c>
      <c r="R172" s="3">
        <v>0</v>
      </c>
      <c r="S172" s="3">
        <v>0</v>
      </c>
      <c r="T172" s="3">
        <v>0</v>
      </c>
      <c r="U172" s="3">
        <v>10</v>
      </c>
      <c r="V172" s="3" t="s">
        <v>1019</v>
      </c>
      <c r="W172" s="3">
        <v>0</v>
      </c>
      <c r="X172" s="3">
        <v>10</v>
      </c>
      <c r="Y172" s="3">
        <v>3</v>
      </c>
      <c r="Z172" s="3">
        <v>1</v>
      </c>
      <c r="AA172" s="3">
        <v>0</v>
      </c>
      <c r="AB172" s="3">
        <v>0</v>
      </c>
      <c r="AC172" s="3">
        <v>12</v>
      </c>
      <c r="AD172" s="3" t="s">
        <v>0</v>
      </c>
      <c r="AE172" s="3" t="s">
        <v>46</v>
      </c>
    </row>
    <row r="173" spans="1:31" ht="38.25" x14ac:dyDescent="0.2">
      <c r="A173" s="4" t="str">
        <f>HYPERLINK("http://www.patentics.cn/invokexml.do?sf=ShowPatent&amp;spn=CN103934537B&amp;sv=e39fb291eeaf454b1a432afc07a7f81f","CN103934537B")</f>
        <v>CN103934537B</v>
      </c>
      <c r="B173" s="2" t="s">
        <v>1020</v>
      </c>
      <c r="C173" s="2" t="s">
        <v>1021</v>
      </c>
      <c r="D173" s="2" t="s">
        <v>674</v>
      </c>
      <c r="E173" s="2" t="s">
        <v>36</v>
      </c>
      <c r="F173" s="2" t="s">
        <v>1022</v>
      </c>
      <c r="G173" s="2" t="s">
        <v>1023</v>
      </c>
      <c r="H173" s="2" t="s">
        <v>0</v>
      </c>
      <c r="I173" s="2" t="s">
        <v>1024</v>
      </c>
      <c r="J173" s="2" t="s">
        <v>1025</v>
      </c>
      <c r="K173" s="2" t="s">
        <v>1026</v>
      </c>
      <c r="L173" s="2" t="s">
        <v>1027</v>
      </c>
      <c r="M173" s="2">
        <v>10</v>
      </c>
      <c r="N173" s="2">
        <v>22</v>
      </c>
      <c r="O173" s="2" t="s">
        <v>43</v>
      </c>
      <c r="P173" s="2" t="s">
        <v>44</v>
      </c>
      <c r="Q173" s="2">
        <v>7</v>
      </c>
      <c r="R173" s="2">
        <v>0</v>
      </c>
      <c r="S173" s="2">
        <v>7</v>
      </c>
      <c r="T173" s="2">
        <v>7</v>
      </c>
      <c r="U173" s="2">
        <v>0</v>
      </c>
      <c r="V173" s="2" t="s">
        <v>45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 t="s">
        <v>0</v>
      </c>
      <c r="AD173" s="2">
        <v>1</v>
      </c>
      <c r="AE173" s="2" t="s">
        <v>46</v>
      </c>
    </row>
    <row r="174" spans="1:31" ht="25.5" x14ac:dyDescent="0.2">
      <c r="A174" s="5" t="str">
        <f>HYPERLINK("http://www.patentics.cn/invokexml.do?sf=ShowPatent&amp;spn=CN102970832&amp;sv=29a982e2bb1d799ba6153a8deabad48b","CN102970832")</f>
        <v>CN102970832</v>
      </c>
      <c r="B174" s="3" t="s">
        <v>1028</v>
      </c>
      <c r="C174" s="3" t="s">
        <v>1029</v>
      </c>
      <c r="D174" s="3" t="s">
        <v>49</v>
      </c>
      <c r="E174" s="3" t="s">
        <v>50</v>
      </c>
      <c r="F174" s="3" t="s">
        <v>1030</v>
      </c>
      <c r="G174" s="3" t="s">
        <v>1031</v>
      </c>
      <c r="H174" s="3" t="s">
        <v>0</v>
      </c>
      <c r="I174" s="3" t="s">
        <v>208</v>
      </c>
      <c r="J174" s="3" t="s">
        <v>174</v>
      </c>
      <c r="K174" s="3" t="s">
        <v>826</v>
      </c>
      <c r="L174" s="3" t="s">
        <v>1032</v>
      </c>
      <c r="M174" s="3">
        <v>11</v>
      </c>
      <c r="N174" s="3">
        <v>6</v>
      </c>
      <c r="O174" s="3" t="s">
        <v>75</v>
      </c>
      <c r="P174" s="3" t="s">
        <v>44</v>
      </c>
      <c r="Q174" s="3">
        <v>1</v>
      </c>
      <c r="R174" s="3">
        <v>0</v>
      </c>
      <c r="S174" s="3">
        <v>1</v>
      </c>
      <c r="T174" s="3">
        <v>1</v>
      </c>
      <c r="U174" s="3">
        <v>1</v>
      </c>
      <c r="V174" s="3" t="s">
        <v>177</v>
      </c>
      <c r="W174" s="3">
        <v>0</v>
      </c>
      <c r="X174" s="3">
        <v>1</v>
      </c>
      <c r="Y174" s="3">
        <v>1</v>
      </c>
      <c r="Z174" s="3">
        <v>1</v>
      </c>
      <c r="AA174" s="3">
        <v>0</v>
      </c>
      <c r="AB174" s="3">
        <v>0</v>
      </c>
      <c r="AC174" s="3">
        <v>12</v>
      </c>
      <c r="AD174" s="3" t="s">
        <v>0</v>
      </c>
      <c r="AE174" s="3" t="s">
        <v>46</v>
      </c>
    </row>
    <row r="175" spans="1:31" ht="25.5" x14ac:dyDescent="0.2">
      <c r="A175" s="4" t="str">
        <f>HYPERLINK("http://www.patentics.cn/invokexml.do?sf=ShowPatent&amp;spn=CN104454478B&amp;sv=e26276295f73946b5c3cc73f19f554be","CN104454478B")</f>
        <v>CN104454478B</v>
      </c>
      <c r="B175" s="2" t="s">
        <v>1033</v>
      </c>
      <c r="C175" s="2" t="s">
        <v>1034</v>
      </c>
      <c r="D175" s="2" t="s">
        <v>35</v>
      </c>
      <c r="E175" s="2" t="s">
        <v>36</v>
      </c>
      <c r="F175" s="2" t="s">
        <v>1035</v>
      </c>
      <c r="G175" s="2" t="s">
        <v>1036</v>
      </c>
      <c r="H175" s="2" t="s">
        <v>0</v>
      </c>
      <c r="I175" s="2" t="s">
        <v>1037</v>
      </c>
      <c r="J175" s="2" t="s">
        <v>332</v>
      </c>
      <c r="K175" s="2" t="s">
        <v>403</v>
      </c>
      <c r="L175" s="2" t="s">
        <v>1038</v>
      </c>
      <c r="M175" s="2">
        <v>11</v>
      </c>
      <c r="N175" s="2">
        <v>15</v>
      </c>
      <c r="O175" s="2" t="s">
        <v>43</v>
      </c>
      <c r="P175" s="2" t="s">
        <v>44</v>
      </c>
      <c r="Q175" s="2">
        <v>6</v>
      </c>
      <c r="R175" s="2">
        <v>2</v>
      </c>
      <c r="S175" s="2">
        <v>4</v>
      </c>
      <c r="T175" s="2">
        <v>4</v>
      </c>
      <c r="U175" s="2">
        <v>0</v>
      </c>
      <c r="V175" s="2" t="s">
        <v>45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 t="s">
        <v>0</v>
      </c>
      <c r="AD175" s="2">
        <v>1</v>
      </c>
      <c r="AE175" s="2" t="s">
        <v>46</v>
      </c>
    </row>
    <row r="176" spans="1:31" ht="51" x14ac:dyDescent="0.2">
      <c r="A176" s="5" t="str">
        <f>HYPERLINK("http://www.patentics.cn/invokexml.do?sf=ShowPatent&amp;spn=CN101382331&amp;sv=f27caa034ea2e78d9c9e099374835d13","CN101382331")</f>
        <v>CN101382331</v>
      </c>
      <c r="B176" s="3" t="s">
        <v>579</v>
      </c>
      <c r="C176" s="3" t="s">
        <v>580</v>
      </c>
      <c r="D176" s="3" t="s">
        <v>49</v>
      </c>
      <c r="E176" s="3" t="s">
        <v>50</v>
      </c>
      <c r="F176" s="3" t="s">
        <v>575</v>
      </c>
      <c r="G176" s="3" t="s">
        <v>88</v>
      </c>
      <c r="H176" s="3" t="s">
        <v>576</v>
      </c>
      <c r="I176" s="3" t="s">
        <v>576</v>
      </c>
      <c r="J176" s="3" t="s">
        <v>581</v>
      </c>
      <c r="K176" s="3" t="s">
        <v>41</v>
      </c>
      <c r="L176" s="3" t="s">
        <v>84</v>
      </c>
      <c r="M176" s="3">
        <v>8</v>
      </c>
      <c r="N176" s="3">
        <v>28</v>
      </c>
      <c r="O176" s="3" t="s">
        <v>75</v>
      </c>
      <c r="P176" s="3" t="s">
        <v>44</v>
      </c>
      <c r="Q176" s="3">
        <v>1</v>
      </c>
      <c r="R176" s="3">
        <v>1</v>
      </c>
      <c r="S176" s="3">
        <v>0</v>
      </c>
      <c r="T176" s="3">
        <v>1</v>
      </c>
      <c r="U176" s="3">
        <v>4</v>
      </c>
      <c r="V176" s="3" t="s">
        <v>539</v>
      </c>
      <c r="W176" s="3">
        <v>0</v>
      </c>
      <c r="X176" s="3">
        <v>4</v>
      </c>
      <c r="Y176" s="3">
        <v>2</v>
      </c>
      <c r="Z176" s="3">
        <v>1</v>
      </c>
      <c r="AA176" s="3">
        <v>1</v>
      </c>
      <c r="AB176" s="3">
        <v>1</v>
      </c>
      <c r="AC176" s="3">
        <v>12</v>
      </c>
      <c r="AD176" s="3" t="s">
        <v>0</v>
      </c>
      <c r="AE176" s="3" t="s">
        <v>46</v>
      </c>
    </row>
    <row r="177" spans="1:31" ht="38.25" x14ac:dyDescent="0.2">
      <c r="A177" s="4" t="str">
        <f>HYPERLINK("http://www.patentics.cn/invokexml.do?sf=ShowPatent&amp;spn=CN104005942B&amp;sv=13fde90138d242a1662062e0c378f610","CN104005942B")</f>
        <v>CN104005942B</v>
      </c>
      <c r="B177" s="2" t="s">
        <v>1039</v>
      </c>
      <c r="C177" s="2" t="s">
        <v>1040</v>
      </c>
      <c r="D177" s="2" t="s">
        <v>623</v>
      </c>
      <c r="E177" s="2" t="s">
        <v>624</v>
      </c>
      <c r="F177" s="2" t="s">
        <v>1041</v>
      </c>
      <c r="G177" s="2" t="s">
        <v>1041</v>
      </c>
      <c r="H177" s="2" t="s">
        <v>0</v>
      </c>
      <c r="I177" s="2" t="s">
        <v>1042</v>
      </c>
      <c r="J177" s="2" t="s">
        <v>1043</v>
      </c>
      <c r="K177" s="2" t="s">
        <v>403</v>
      </c>
      <c r="L177" s="2" t="s">
        <v>1044</v>
      </c>
      <c r="M177" s="2">
        <v>9</v>
      </c>
      <c r="N177" s="2">
        <v>16</v>
      </c>
      <c r="O177" s="2" t="s">
        <v>43</v>
      </c>
      <c r="P177" s="2" t="s">
        <v>44</v>
      </c>
      <c r="Q177" s="2">
        <v>4</v>
      </c>
      <c r="R177" s="2">
        <v>0</v>
      </c>
      <c r="S177" s="2">
        <v>4</v>
      </c>
      <c r="T177" s="2">
        <v>4</v>
      </c>
      <c r="U177" s="2">
        <v>0</v>
      </c>
      <c r="V177" s="2" t="s">
        <v>45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 t="s">
        <v>0</v>
      </c>
      <c r="AD177" s="2">
        <v>1</v>
      </c>
      <c r="AE177" s="2" t="s">
        <v>46</v>
      </c>
    </row>
    <row r="178" spans="1:31" ht="25.5" x14ac:dyDescent="0.2">
      <c r="A178" s="5" t="str">
        <f>HYPERLINK("http://www.patentics.cn/invokexml.do?sf=ShowPatent&amp;spn=CN103423842&amp;sv=24f9b1f865378ee9d0c928dcf5a4ef4f","CN103423842")</f>
        <v>CN103423842</v>
      </c>
      <c r="B178" s="3" t="s">
        <v>1045</v>
      </c>
      <c r="C178" s="3" t="s">
        <v>1046</v>
      </c>
      <c r="D178" s="3" t="s">
        <v>49</v>
      </c>
      <c r="E178" s="3" t="s">
        <v>50</v>
      </c>
      <c r="F178" s="3" t="s">
        <v>1047</v>
      </c>
      <c r="G178" s="3" t="s">
        <v>1047</v>
      </c>
      <c r="H178" s="3" t="s">
        <v>0</v>
      </c>
      <c r="I178" s="3" t="s">
        <v>1048</v>
      </c>
      <c r="J178" s="3" t="s">
        <v>811</v>
      </c>
      <c r="K178" s="3" t="s">
        <v>41</v>
      </c>
      <c r="L178" s="3" t="s">
        <v>91</v>
      </c>
      <c r="M178" s="3">
        <v>15</v>
      </c>
      <c r="N178" s="3">
        <v>19</v>
      </c>
      <c r="O178" s="3" t="s">
        <v>75</v>
      </c>
      <c r="P178" s="3" t="s">
        <v>44</v>
      </c>
      <c r="Q178" s="3">
        <v>0</v>
      </c>
      <c r="R178" s="3">
        <v>0</v>
      </c>
      <c r="S178" s="3">
        <v>0</v>
      </c>
      <c r="T178" s="3">
        <v>0</v>
      </c>
      <c r="U178" s="3">
        <v>1</v>
      </c>
      <c r="V178" s="3" t="s">
        <v>284</v>
      </c>
      <c r="W178" s="3">
        <v>0</v>
      </c>
      <c r="X178" s="3">
        <v>1</v>
      </c>
      <c r="Y178" s="3">
        <v>1</v>
      </c>
      <c r="Z178" s="3">
        <v>1</v>
      </c>
      <c r="AA178" s="3">
        <v>0</v>
      </c>
      <c r="AB178" s="3">
        <v>0</v>
      </c>
      <c r="AC178" s="3">
        <v>12</v>
      </c>
      <c r="AD178" s="3" t="s">
        <v>0</v>
      </c>
      <c r="AE178" s="3" t="s">
        <v>46</v>
      </c>
    </row>
    <row r="179" spans="1:31" ht="25.5" x14ac:dyDescent="0.2">
      <c r="A179" s="4" t="str">
        <f>HYPERLINK("http://www.patentics.cn/invokexml.do?sf=ShowPatent&amp;spn=CN103526513B&amp;sv=839a6394f56298ea195784b22d91f24f","CN103526513B")</f>
        <v>CN103526513B</v>
      </c>
      <c r="B179" s="2" t="s">
        <v>1049</v>
      </c>
      <c r="C179" s="2" t="s">
        <v>1050</v>
      </c>
      <c r="D179" s="2" t="s">
        <v>1051</v>
      </c>
      <c r="E179" s="2" t="s">
        <v>36</v>
      </c>
      <c r="F179" s="2" t="s">
        <v>1052</v>
      </c>
      <c r="G179" s="2" t="s">
        <v>1053</v>
      </c>
      <c r="H179" s="2" t="s">
        <v>0</v>
      </c>
      <c r="I179" s="2" t="s">
        <v>1054</v>
      </c>
      <c r="J179" s="2" t="s">
        <v>1043</v>
      </c>
      <c r="K179" s="2" t="s">
        <v>1055</v>
      </c>
      <c r="L179" s="2" t="s">
        <v>1056</v>
      </c>
      <c r="M179" s="2">
        <v>11</v>
      </c>
      <c r="N179" s="2">
        <v>8</v>
      </c>
      <c r="O179" s="2" t="s">
        <v>43</v>
      </c>
      <c r="P179" s="2" t="s">
        <v>44</v>
      </c>
      <c r="Q179" s="2">
        <v>5</v>
      </c>
      <c r="R179" s="2">
        <v>1</v>
      </c>
      <c r="S179" s="2">
        <v>4</v>
      </c>
      <c r="T179" s="2">
        <v>5</v>
      </c>
      <c r="U179" s="2">
        <v>0</v>
      </c>
      <c r="V179" s="2" t="s">
        <v>45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 t="s">
        <v>0</v>
      </c>
      <c r="AD179" s="2">
        <v>1</v>
      </c>
      <c r="AE179" s="2" t="s">
        <v>46</v>
      </c>
    </row>
    <row r="180" spans="1:31" ht="51" x14ac:dyDescent="0.2">
      <c r="A180" s="5" t="str">
        <f>HYPERLINK("http://www.patentics.cn/invokexml.do?sf=ShowPatent&amp;spn=CN201622947&amp;sv=88715ac535728f470b087a20feee6a50","CN201622947")</f>
        <v>CN201622947</v>
      </c>
      <c r="B180" s="3" t="s">
        <v>1057</v>
      </c>
      <c r="C180" s="3" t="s">
        <v>1058</v>
      </c>
      <c r="D180" s="3" t="s">
        <v>49</v>
      </c>
      <c r="E180" s="3" t="s">
        <v>50</v>
      </c>
      <c r="F180" s="3" t="s">
        <v>1059</v>
      </c>
      <c r="G180" s="3" t="s">
        <v>1060</v>
      </c>
      <c r="H180" s="3" t="s">
        <v>0</v>
      </c>
      <c r="I180" s="3" t="s">
        <v>1061</v>
      </c>
      <c r="J180" s="3" t="s">
        <v>1062</v>
      </c>
      <c r="K180" s="3" t="s">
        <v>1063</v>
      </c>
      <c r="L180" s="3" t="s">
        <v>1064</v>
      </c>
      <c r="M180" s="3">
        <v>12</v>
      </c>
      <c r="N180" s="3">
        <v>10</v>
      </c>
      <c r="O180" s="3" t="s">
        <v>55</v>
      </c>
      <c r="P180" s="3" t="s">
        <v>44</v>
      </c>
      <c r="Q180" s="3">
        <v>0</v>
      </c>
      <c r="R180" s="3">
        <v>0</v>
      </c>
      <c r="S180" s="3">
        <v>0</v>
      </c>
      <c r="T180" s="3">
        <v>0</v>
      </c>
      <c r="U180" s="3">
        <v>5</v>
      </c>
      <c r="V180" s="3" t="s">
        <v>1065</v>
      </c>
      <c r="W180" s="3">
        <v>0</v>
      </c>
      <c r="X180" s="3">
        <v>5</v>
      </c>
      <c r="Y180" s="3">
        <v>5</v>
      </c>
      <c r="Z180" s="3">
        <v>2</v>
      </c>
      <c r="AA180" s="3">
        <v>0</v>
      </c>
      <c r="AB180" s="3">
        <v>0</v>
      </c>
      <c r="AC180" s="3">
        <v>12</v>
      </c>
      <c r="AD180" s="3" t="s">
        <v>0</v>
      </c>
      <c r="AE180" s="3" t="s">
        <v>46</v>
      </c>
    </row>
    <row r="181" spans="1:31" ht="25.5" x14ac:dyDescent="0.2">
      <c r="A181" s="4" t="str">
        <f>HYPERLINK("http://www.patentics.cn/invokexml.do?sf=ShowPatent&amp;spn=CN103557159B&amp;sv=91f036db5cbb315e7cf607f93fe8cfe4","CN103557159B")</f>
        <v>CN103557159B</v>
      </c>
      <c r="B181" s="2" t="s">
        <v>1066</v>
      </c>
      <c r="C181" s="2" t="s">
        <v>361</v>
      </c>
      <c r="D181" s="2" t="s">
        <v>180</v>
      </c>
      <c r="E181" s="2" t="s">
        <v>36</v>
      </c>
      <c r="F181" s="2" t="s">
        <v>1067</v>
      </c>
      <c r="G181" s="2" t="s">
        <v>1067</v>
      </c>
      <c r="H181" s="2" t="s">
        <v>0</v>
      </c>
      <c r="I181" s="2" t="s">
        <v>1068</v>
      </c>
      <c r="J181" s="2" t="s">
        <v>365</v>
      </c>
      <c r="K181" s="2" t="s">
        <v>185</v>
      </c>
      <c r="L181" s="2" t="s">
        <v>1069</v>
      </c>
      <c r="M181" s="2">
        <v>4</v>
      </c>
      <c r="N181" s="2">
        <v>20</v>
      </c>
      <c r="O181" s="2" t="s">
        <v>43</v>
      </c>
      <c r="P181" s="2" t="s">
        <v>44</v>
      </c>
      <c r="Q181" s="2">
        <v>3</v>
      </c>
      <c r="R181" s="2">
        <v>1</v>
      </c>
      <c r="S181" s="2">
        <v>2</v>
      </c>
      <c r="T181" s="2">
        <v>3</v>
      </c>
      <c r="U181" s="2">
        <v>0</v>
      </c>
      <c r="V181" s="2" t="s">
        <v>45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 t="s">
        <v>0</v>
      </c>
      <c r="AD181" s="2">
        <v>1</v>
      </c>
      <c r="AE181" s="2" t="s">
        <v>46</v>
      </c>
    </row>
    <row r="182" spans="1:31" ht="51" x14ac:dyDescent="0.2">
      <c r="A182" s="5" t="str">
        <f>HYPERLINK("http://www.patentics.cn/invokexml.do?sf=ShowPatent&amp;spn=CN202946381&amp;sv=f6f8244566d3b315cebbd1866d9fb1db","CN202946381")</f>
        <v>CN202946381</v>
      </c>
      <c r="B182" s="3" t="s">
        <v>1070</v>
      </c>
      <c r="C182" s="3" t="s">
        <v>1071</v>
      </c>
      <c r="D182" s="3" t="s">
        <v>377</v>
      </c>
      <c r="E182" s="3" t="s">
        <v>50</v>
      </c>
      <c r="F182" s="3" t="s">
        <v>1072</v>
      </c>
      <c r="G182" s="3" t="s">
        <v>1073</v>
      </c>
      <c r="H182" s="3" t="s">
        <v>0</v>
      </c>
      <c r="I182" s="3" t="s">
        <v>1074</v>
      </c>
      <c r="J182" s="3" t="s">
        <v>1075</v>
      </c>
      <c r="K182" s="3" t="s">
        <v>185</v>
      </c>
      <c r="L182" s="3" t="s">
        <v>1069</v>
      </c>
      <c r="M182" s="3">
        <v>11</v>
      </c>
      <c r="N182" s="3">
        <v>20</v>
      </c>
      <c r="O182" s="3" t="s">
        <v>55</v>
      </c>
      <c r="P182" s="3" t="s">
        <v>44</v>
      </c>
      <c r="Q182" s="3">
        <v>0</v>
      </c>
      <c r="R182" s="3">
        <v>0</v>
      </c>
      <c r="S182" s="3">
        <v>0</v>
      </c>
      <c r="T182" s="3">
        <v>0</v>
      </c>
      <c r="U182" s="3">
        <v>1</v>
      </c>
      <c r="V182" s="3" t="s">
        <v>256</v>
      </c>
      <c r="W182" s="3">
        <v>0</v>
      </c>
      <c r="X182" s="3">
        <v>1</v>
      </c>
      <c r="Y182" s="3">
        <v>1</v>
      </c>
      <c r="Z182" s="3">
        <v>1</v>
      </c>
      <c r="AA182" s="3">
        <v>0</v>
      </c>
      <c r="AB182" s="3">
        <v>0</v>
      </c>
      <c r="AC182" s="3">
        <v>12</v>
      </c>
      <c r="AD182" s="3" t="s">
        <v>0</v>
      </c>
      <c r="AE182" s="3" t="s">
        <v>46</v>
      </c>
    </row>
    <row r="183" spans="1:31" ht="51" x14ac:dyDescent="0.2">
      <c r="A183" s="4" t="str">
        <f>HYPERLINK("http://www.patentics.cn/invokexml.do?sf=ShowPatent&amp;spn=CN103697559B&amp;sv=06e881edd92f4afb10179b6c2b756609","CN103697559B")</f>
        <v>CN103697559B</v>
      </c>
      <c r="B183" s="2" t="s">
        <v>1076</v>
      </c>
      <c r="C183" s="2" t="s">
        <v>1077</v>
      </c>
      <c r="D183" s="2" t="s">
        <v>1078</v>
      </c>
      <c r="E183" s="2" t="s">
        <v>36</v>
      </c>
      <c r="F183" s="2" t="s">
        <v>1079</v>
      </c>
      <c r="G183" s="2" t="s">
        <v>1080</v>
      </c>
      <c r="H183" s="2" t="s">
        <v>0</v>
      </c>
      <c r="I183" s="2" t="s">
        <v>1081</v>
      </c>
      <c r="J183" s="2" t="s">
        <v>1082</v>
      </c>
      <c r="K183" s="2" t="s">
        <v>41</v>
      </c>
      <c r="L183" s="2" t="s">
        <v>84</v>
      </c>
      <c r="M183" s="2">
        <v>8</v>
      </c>
      <c r="N183" s="2">
        <v>22</v>
      </c>
      <c r="O183" s="2" t="s">
        <v>43</v>
      </c>
      <c r="P183" s="2" t="s">
        <v>44</v>
      </c>
      <c r="Q183" s="2">
        <v>8</v>
      </c>
      <c r="R183" s="2">
        <v>1</v>
      </c>
      <c r="S183" s="2">
        <v>7</v>
      </c>
      <c r="T183" s="2">
        <v>7</v>
      </c>
      <c r="U183" s="2">
        <v>0</v>
      </c>
      <c r="V183" s="2" t="s">
        <v>45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 t="s">
        <v>0</v>
      </c>
      <c r="AD183" s="2">
        <v>1</v>
      </c>
      <c r="AE183" s="2" t="s">
        <v>46</v>
      </c>
    </row>
    <row r="184" spans="1:31" ht="63.75" x14ac:dyDescent="0.2">
      <c r="A184" s="5" t="str">
        <f>HYPERLINK("http://www.patentics.cn/invokexml.do?sf=ShowPatent&amp;spn=CN101988717&amp;sv=f4f5c6a5d1a524e03ddc698eebec40ff","CN101988717")</f>
        <v>CN101988717</v>
      </c>
      <c r="B184" s="3" t="s">
        <v>1083</v>
      </c>
      <c r="C184" s="3" t="s">
        <v>1084</v>
      </c>
      <c r="D184" s="3" t="s">
        <v>49</v>
      </c>
      <c r="E184" s="3" t="s">
        <v>50</v>
      </c>
      <c r="F184" s="3" t="s">
        <v>1085</v>
      </c>
      <c r="G184" s="3" t="s">
        <v>1086</v>
      </c>
      <c r="H184" s="3" t="s">
        <v>1087</v>
      </c>
      <c r="I184" s="3" t="s">
        <v>1087</v>
      </c>
      <c r="J184" s="3" t="s">
        <v>1088</v>
      </c>
      <c r="K184" s="3" t="s">
        <v>41</v>
      </c>
      <c r="L184" s="3" t="s">
        <v>42</v>
      </c>
      <c r="M184" s="3">
        <v>11</v>
      </c>
      <c r="N184" s="3">
        <v>25</v>
      </c>
      <c r="O184" s="3" t="s">
        <v>75</v>
      </c>
      <c r="P184" s="3" t="s">
        <v>44</v>
      </c>
      <c r="Q184" s="3">
        <v>0</v>
      </c>
      <c r="R184" s="3">
        <v>0</v>
      </c>
      <c r="S184" s="3">
        <v>0</v>
      </c>
      <c r="T184" s="3">
        <v>0</v>
      </c>
      <c r="U184" s="3">
        <v>3</v>
      </c>
      <c r="V184" s="3" t="s">
        <v>1089</v>
      </c>
      <c r="W184" s="3">
        <v>1</v>
      </c>
      <c r="X184" s="3">
        <v>2</v>
      </c>
      <c r="Y184" s="3">
        <v>3</v>
      </c>
      <c r="Z184" s="3">
        <v>1</v>
      </c>
      <c r="AA184" s="3">
        <v>1</v>
      </c>
      <c r="AB184" s="3">
        <v>1</v>
      </c>
      <c r="AC184" s="3">
        <v>12</v>
      </c>
      <c r="AD184" s="3" t="s">
        <v>0</v>
      </c>
      <c r="AE184" s="3" t="s">
        <v>46</v>
      </c>
    </row>
    <row r="185" spans="1:31" ht="25.5" x14ac:dyDescent="0.2">
      <c r="A185" s="4" t="str">
        <f>HYPERLINK("http://www.patentics.cn/invokexml.do?sf=ShowPatent&amp;spn=CN103501147B&amp;sv=995cef63f6eed1bfa1aa8227c7ad87b9","CN103501147B")</f>
        <v>CN103501147B</v>
      </c>
      <c r="B185" s="2" t="s">
        <v>1090</v>
      </c>
      <c r="C185" s="2" t="s">
        <v>1091</v>
      </c>
      <c r="D185" s="2" t="s">
        <v>1092</v>
      </c>
      <c r="E185" s="2" t="s">
        <v>36</v>
      </c>
      <c r="F185" s="2" t="s">
        <v>1093</v>
      </c>
      <c r="G185" s="2" t="s">
        <v>1094</v>
      </c>
      <c r="H185" s="2" t="s">
        <v>0</v>
      </c>
      <c r="I185" s="2" t="s">
        <v>1095</v>
      </c>
      <c r="J185" s="2" t="s">
        <v>384</v>
      </c>
      <c r="K185" s="2" t="s">
        <v>1096</v>
      </c>
      <c r="L185" s="2" t="s">
        <v>1097</v>
      </c>
      <c r="M185" s="2">
        <v>7</v>
      </c>
      <c r="N185" s="2">
        <v>8</v>
      </c>
      <c r="O185" s="2" t="s">
        <v>43</v>
      </c>
      <c r="P185" s="2" t="s">
        <v>44</v>
      </c>
      <c r="Q185" s="2">
        <v>7</v>
      </c>
      <c r="R185" s="2">
        <v>2</v>
      </c>
      <c r="S185" s="2">
        <v>5</v>
      </c>
      <c r="T185" s="2">
        <v>4</v>
      </c>
      <c r="U185" s="2">
        <v>0</v>
      </c>
      <c r="V185" s="2" t="s">
        <v>45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 t="s">
        <v>0</v>
      </c>
      <c r="AD185" s="2">
        <v>1</v>
      </c>
      <c r="AE185" s="2" t="s">
        <v>46</v>
      </c>
    </row>
    <row r="186" spans="1:31" ht="38.25" x14ac:dyDescent="0.2">
      <c r="A186" s="5" t="str">
        <f>HYPERLINK("http://www.patentics.cn/invokexml.do?sf=ShowPatent&amp;spn=CN202424134&amp;sv=4935e2e5181b9107d3ddf90e5313a5be","CN202424134")</f>
        <v>CN202424134</v>
      </c>
      <c r="B186" s="3" t="s">
        <v>1098</v>
      </c>
      <c r="C186" s="3" t="s">
        <v>1099</v>
      </c>
      <c r="D186" s="3" t="s">
        <v>49</v>
      </c>
      <c r="E186" s="3" t="s">
        <v>50</v>
      </c>
      <c r="F186" s="3" t="s">
        <v>1100</v>
      </c>
      <c r="G186" s="3" t="s">
        <v>1101</v>
      </c>
      <c r="H186" s="3" t="s">
        <v>0</v>
      </c>
      <c r="I186" s="3" t="s">
        <v>1102</v>
      </c>
      <c r="J186" s="3" t="s">
        <v>1103</v>
      </c>
      <c r="K186" s="3" t="s">
        <v>1104</v>
      </c>
      <c r="L186" s="3" t="s">
        <v>1105</v>
      </c>
      <c r="M186" s="3">
        <v>11</v>
      </c>
      <c r="N186" s="3">
        <v>14</v>
      </c>
      <c r="O186" s="3" t="s">
        <v>55</v>
      </c>
      <c r="P186" s="3" t="s">
        <v>44</v>
      </c>
      <c r="Q186" s="3">
        <v>0</v>
      </c>
      <c r="R186" s="3">
        <v>0</v>
      </c>
      <c r="S186" s="3">
        <v>0</v>
      </c>
      <c r="T186" s="3">
        <v>0</v>
      </c>
      <c r="U186" s="3">
        <v>3</v>
      </c>
      <c r="V186" s="3" t="s">
        <v>1106</v>
      </c>
      <c r="W186" s="3">
        <v>2</v>
      </c>
      <c r="X186" s="3">
        <v>1</v>
      </c>
      <c r="Y186" s="3">
        <v>2</v>
      </c>
      <c r="Z186" s="3">
        <v>2</v>
      </c>
      <c r="AA186" s="3">
        <v>0</v>
      </c>
      <c r="AB186" s="3">
        <v>0</v>
      </c>
      <c r="AC186" s="3">
        <v>12</v>
      </c>
      <c r="AD186" s="3" t="s">
        <v>0</v>
      </c>
      <c r="AE186" s="3" t="s">
        <v>46</v>
      </c>
    </row>
    <row r="187" spans="1:31" ht="25.5" x14ac:dyDescent="0.2">
      <c r="A187" s="4" t="str">
        <f>HYPERLINK("http://www.patentics.cn/invokexml.do?sf=ShowPatent&amp;spn=CN103511277B&amp;sv=18a919437d40571014c876ca722e1a82","CN103511277B")</f>
        <v>CN103511277B</v>
      </c>
      <c r="B187" s="2" t="s">
        <v>1107</v>
      </c>
      <c r="C187" s="2" t="s">
        <v>361</v>
      </c>
      <c r="D187" s="2" t="s">
        <v>180</v>
      </c>
      <c r="E187" s="2" t="s">
        <v>36</v>
      </c>
      <c r="F187" s="2" t="s">
        <v>1108</v>
      </c>
      <c r="G187" s="2" t="s">
        <v>1108</v>
      </c>
      <c r="H187" s="2" t="s">
        <v>0</v>
      </c>
      <c r="I187" s="2" t="s">
        <v>1109</v>
      </c>
      <c r="J187" s="2" t="s">
        <v>384</v>
      </c>
      <c r="K187" s="2" t="s">
        <v>185</v>
      </c>
      <c r="L187" s="2" t="s">
        <v>195</v>
      </c>
      <c r="M187" s="2">
        <v>8</v>
      </c>
      <c r="N187" s="2">
        <v>10</v>
      </c>
      <c r="O187" s="2" t="s">
        <v>43</v>
      </c>
      <c r="P187" s="2" t="s">
        <v>44</v>
      </c>
      <c r="Q187" s="2">
        <v>3</v>
      </c>
      <c r="R187" s="2">
        <v>1</v>
      </c>
      <c r="S187" s="2">
        <v>2</v>
      </c>
      <c r="T187" s="2">
        <v>3</v>
      </c>
      <c r="U187" s="2">
        <v>0</v>
      </c>
      <c r="V187" s="2" t="s">
        <v>45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 t="s">
        <v>0</v>
      </c>
      <c r="AD187" s="2">
        <v>1</v>
      </c>
      <c r="AE187" s="2" t="s">
        <v>46</v>
      </c>
    </row>
    <row r="188" spans="1:31" ht="25.5" x14ac:dyDescent="0.2">
      <c r="A188" s="5" t="str">
        <f>HYPERLINK("http://www.patentics.cn/invokexml.do?sf=ShowPatent&amp;spn=CN202732344&amp;sv=dc5a4eb8a18ca563f827bb18e440769e","CN202732344")</f>
        <v>CN202732344</v>
      </c>
      <c r="B188" s="3" t="s">
        <v>1110</v>
      </c>
      <c r="C188" s="3" t="s">
        <v>1111</v>
      </c>
      <c r="D188" s="3" t="s">
        <v>377</v>
      </c>
      <c r="E188" s="3" t="s">
        <v>50</v>
      </c>
      <c r="F188" s="3" t="s">
        <v>1112</v>
      </c>
      <c r="G188" s="3" t="s">
        <v>1113</v>
      </c>
      <c r="H188" s="3" t="s">
        <v>0</v>
      </c>
      <c r="I188" s="3" t="s">
        <v>1114</v>
      </c>
      <c r="J188" s="3" t="s">
        <v>1115</v>
      </c>
      <c r="K188" s="3" t="s">
        <v>185</v>
      </c>
      <c r="L188" s="3" t="s">
        <v>1069</v>
      </c>
      <c r="M188" s="3">
        <v>10</v>
      </c>
      <c r="N188" s="3">
        <v>10</v>
      </c>
      <c r="O188" s="3" t="s">
        <v>55</v>
      </c>
      <c r="P188" s="3" t="s">
        <v>44</v>
      </c>
      <c r="Q188" s="3">
        <v>0</v>
      </c>
      <c r="R188" s="3">
        <v>0</v>
      </c>
      <c r="S188" s="3">
        <v>0</v>
      </c>
      <c r="T188" s="3">
        <v>0</v>
      </c>
      <c r="U188" s="3">
        <v>1</v>
      </c>
      <c r="V188" s="3" t="s">
        <v>256</v>
      </c>
      <c r="W188" s="3">
        <v>0</v>
      </c>
      <c r="X188" s="3">
        <v>1</v>
      </c>
      <c r="Y188" s="3">
        <v>1</v>
      </c>
      <c r="Z188" s="3">
        <v>1</v>
      </c>
      <c r="AA188" s="3">
        <v>0</v>
      </c>
      <c r="AB188" s="3">
        <v>0</v>
      </c>
      <c r="AC188" s="3">
        <v>12</v>
      </c>
      <c r="AD188" s="3" t="s">
        <v>0</v>
      </c>
      <c r="AE188" s="3" t="s">
        <v>46</v>
      </c>
    </row>
    <row r="189" spans="1:31" ht="76.5" x14ac:dyDescent="0.2">
      <c r="A189" s="4" t="str">
        <f>HYPERLINK("http://www.patentics.cn/invokexml.do?sf=ShowPatent&amp;spn=CN104115937B&amp;sv=1e6c3dfa81fc44b0ed0fbe179edf812d","CN104115937B")</f>
        <v>CN104115937B</v>
      </c>
      <c r="B189" s="2" t="s">
        <v>1116</v>
      </c>
      <c r="C189" s="2" t="s">
        <v>1117</v>
      </c>
      <c r="D189" s="2" t="s">
        <v>800</v>
      </c>
      <c r="E189" s="2" t="s">
        <v>624</v>
      </c>
      <c r="F189" s="2" t="s">
        <v>1118</v>
      </c>
      <c r="G189" s="2" t="s">
        <v>802</v>
      </c>
      <c r="H189" s="2" t="s">
        <v>0</v>
      </c>
      <c r="I189" s="2" t="s">
        <v>1119</v>
      </c>
      <c r="J189" s="2" t="s">
        <v>1120</v>
      </c>
      <c r="K189" s="2" t="s">
        <v>1121</v>
      </c>
      <c r="L189" s="2" t="s">
        <v>1122</v>
      </c>
      <c r="M189" s="2">
        <v>44</v>
      </c>
      <c r="N189" s="2">
        <v>30</v>
      </c>
      <c r="O189" s="2" t="s">
        <v>43</v>
      </c>
      <c r="P189" s="2" t="s">
        <v>44</v>
      </c>
      <c r="Q189" s="2">
        <v>4</v>
      </c>
      <c r="R189" s="2">
        <v>2</v>
      </c>
      <c r="S189" s="2">
        <v>2</v>
      </c>
      <c r="T189" s="2">
        <v>3</v>
      </c>
      <c r="U189" s="2">
        <v>0</v>
      </c>
      <c r="V189" s="2" t="s">
        <v>45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 t="s">
        <v>0</v>
      </c>
      <c r="AD189" s="2">
        <v>1</v>
      </c>
      <c r="AE189" s="2" t="s">
        <v>46</v>
      </c>
    </row>
    <row r="190" spans="1:31" ht="51" x14ac:dyDescent="0.2">
      <c r="A190" s="5" t="str">
        <f>HYPERLINK("http://www.patentics.cn/invokexml.do?sf=ShowPatent&amp;spn=CN202457995&amp;sv=00c19258fdd99da79f79824cd9ed1093","CN202457995")</f>
        <v>CN202457995</v>
      </c>
      <c r="B190" s="3" t="s">
        <v>1123</v>
      </c>
      <c r="C190" s="3" t="s">
        <v>1124</v>
      </c>
      <c r="D190" s="3" t="s">
        <v>49</v>
      </c>
      <c r="E190" s="3" t="s">
        <v>50</v>
      </c>
      <c r="F190" s="3" t="s">
        <v>1125</v>
      </c>
      <c r="G190" s="3" t="s">
        <v>506</v>
      </c>
      <c r="H190" s="3" t="s">
        <v>0</v>
      </c>
      <c r="I190" s="3" t="s">
        <v>1126</v>
      </c>
      <c r="J190" s="3" t="s">
        <v>1127</v>
      </c>
      <c r="K190" s="3" t="s">
        <v>804</v>
      </c>
      <c r="L190" s="3" t="s">
        <v>1128</v>
      </c>
      <c r="M190" s="3">
        <v>12</v>
      </c>
      <c r="N190" s="3">
        <v>10</v>
      </c>
      <c r="O190" s="3" t="s">
        <v>55</v>
      </c>
      <c r="P190" s="3" t="s">
        <v>44</v>
      </c>
      <c r="Q190" s="3">
        <v>0</v>
      </c>
      <c r="R190" s="3">
        <v>0</v>
      </c>
      <c r="S190" s="3">
        <v>0</v>
      </c>
      <c r="T190" s="3">
        <v>0</v>
      </c>
      <c r="U190" s="3">
        <v>1</v>
      </c>
      <c r="V190" s="3" t="s">
        <v>284</v>
      </c>
      <c r="W190" s="3">
        <v>0</v>
      </c>
      <c r="X190" s="3">
        <v>1</v>
      </c>
      <c r="Y190" s="3">
        <v>1</v>
      </c>
      <c r="Z190" s="3">
        <v>1</v>
      </c>
      <c r="AA190" s="3">
        <v>0</v>
      </c>
      <c r="AB190" s="3">
        <v>0</v>
      </c>
      <c r="AC190" s="3">
        <v>12</v>
      </c>
      <c r="AD190" s="3" t="s">
        <v>0</v>
      </c>
      <c r="AE190" s="3" t="s">
        <v>46</v>
      </c>
    </row>
    <row r="191" spans="1:31" ht="25.5" x14ac:dyDescent="0.2">
      <c r="A191" s="4" t="str">
        <f>HYPERLINK("http://www.patentics.cn/invokexml.do?sf=ShowPatent&amp;spn=CN103900300B&amp;sv=8db16c0367cec5bcbca07db4fc5d3bb4","CN103900300B")</f>
        <v>CN103900300B</v>
      </c>
      <c r="B191" s="2" t="s">
        <v>1129</v>
      </c>
      <c r="C191" s="2" t="s">
        <v>497</v>
      </c>
      <c r="D191" s="2" t="s">
        <v>79</v>
      </c>
      <c r="E191" s="2" t="s">
        <v>36</v>
      </c>
      <c r="F191" s="2" t="s">
        <v>1130</v>
      </c>
      <c r="G191" s="2" t="s">
        <v>1131</v>
      </c>
      <c r="H191" s="2" t="s">
        <v>0</v>
      </c>
      <c r="I191" s="2" t="s">
        <v>1132</v>
      </c>
      <c r="J191" s="2" t="s">
        <v>1120</v>
      </c>
      <c r="K191" s="2" t="s">
        <v>347</v>
      </c>
      <c r="L191" s="2" t="s">
        <v>1133</v>
      </c>
      <c r="M191" s="2">
        <v>8</v>
      </c>
      <c r="N191" s="2">
        <v>15</v>
      </c>
      <c r="O191" s="2" t="s">
        <v>43</v>
      </c>
      <c r="P191" s="2" t="s">
        <v>44</v>
      </c>
      <c r="Q191" s="2">
        <v>5</v>
      </c>
      <c r="R191" s="2">
        <v>0</v>
      </c>
      <c r="S191" s="2">
        <v>5</v>
      </c>
      <c r="T191" s="2">
        <v>5</v>
      </c>
      <c r="U191" s="2">
        <v>0</v>
      </c>
      <c r="V191" s="2" t="s">
        <v>45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 t="s">
        <v>0</v>
      </c>
      <c r="AD191" s="2">
        <v>1</v>
      </c>
      <c r="AE191" s="2" t="s">
        <v>46</v>
      </c>
    </row>
    <row r="192" spans="1:31" ht="25.5" x14ac:dyDescent="0.2">
      <c r="A192" s="5" t="str">
        <f>HYPERLINK("http://www.patentics.cn/invokexml.do?sf=ShowPatent&amp;spn=CN201945110&amp;sv=bd7703653e77d71427c875775d6b1c3d","CN201945110")</f>
        <v>CN201945110</v>
      </c>
      <c r="B192" s="3" t="s">
        <v>1134</v>
      </c>
      <c r="C192" s="3" t="s">
        <v>1135</v>
      </c>
      <c r="D192" s="3" t="s">
        <v>49</v>
      </c>
      <c r="E192" s="3" t="s">
        <v>50</v>
      </c>
      <c r="F192" s="3" t="s">
        <v>351</v>
      </c>
      <c r="G192" s="3" t="s">
        <v>351</v>
      </c>
      <c r="H192" s="3" t="s">
        <v>0</v>
      </c>
      <c r="I192" s="3" t="s">
        <v>352</v>
      </c>
      <c r="J192" s="3" t="s">
        <v>1136</v>
      </c>
      <c r="K192" s="3" t="s">
        <v>347</v>
      </c>
      <c r="L192" s="3" t="s">
        <v>359</v>
      </c>
      <c r="M192" s="3">
        <v>7</v>
      </c>
      <c r="N192" s="3">
        <v>7</v>
      </c>
      <c r="O192" s="3" t="s">
        <v>55</v>
      </c>
      <c r="P192" s="3" t="s">
        <v>44</v>
      </c>
      <c r="Q192" s="3">
        <v>0</v>
      </c>
      <c r="R192" s="3">
        <v>0</v>
      </c>
      <c r="S192" s="3">
        <v>0</v>
      </c>
      <c r="T192" s="3">
        <v>0</v>
      </c>
      <c r="U192" s="3">
        <v>2</v>
      </c>
      <c r="V192" s="3" t="s">
        <v>935</v>
      </c>
      <c r="W192" s="3">
        <v>1</v>
      </c>
      <c r="X192" s="3">
        <v>1</v>
      </c>
      <c r="Y192" s="3">
        <v>2</v>
      </c>
      <c r="Z192" s="3">
        <v>1</v>
      </c>
      <c r="AA192" s="3">
        <v>0</v>
      </c>
      <c r="AB192" s="3">
        <v>0</v>
      </c>
      <c r="AC192" s="3">
        <v>12</v>
      </c>
      <c r="AD192" s="3" t="s">
        <v>0</v>
      </c>
      <c r="AE192" s="3" t="s">
        <v>57</v>
      </c>
    </row>
    <row r="193" spans="1:31" x14ac:dyDescent="0.2">
      <c r="A193" s="4" t="str">
        <f>HYPERLINK("http://www.patentics.cn/invokexml.do?sf=ShowPatent&amp;spn=CN102519180B&amp;sv=fef08f1d42d82568d98272920b4ea7f4","CN102519180B")</f>
        <v>CN102519180B</v>
      </c>
      <c r="B193" s="2" t="s">
        <v>1137</v>
      </c>
      <c r="C193" s="2" t="s">
        <v>1138</v>
      </c>
      <c r="D193" s="2" t="s">
        <v>79</v>
      </c>
      <c r="E193" s="2" t="s">
        <v>36</v>
      </c>
      <c r="F193" s="2" t="s">
        <v>530</v>
      </c>
      <c r="G193" s="2" t="s">
        <v>531</v>
      </c>
      <c r="H193" s="2" t="s">
        <v>0</v>
      </c>
      <c r="I193" s="2" t="s">
        <v>1139</v>
      </c>
      <c r="J193" s="2" t="s">
        <v>1140</v>
      </c>
      <c r="K193" s="2" t="s">
        <v>347</v>
      </c>
      <c r="L193" s="2" t="s">
        <v>1011</v>
      </c>
      <c r="M193" s="2">
        <v>13</v>
      </c>
      <c r="N193" s="2">
        <v>19</v>
      </c>
      <c r="O193" s="2" t="s">
        <v>43</v>
      </c>
      <c r="P193" s="2" t="s">
        <v>44</v>
      </c>
      <c r="Q193" s="2">
        <v>6</v>
      </c>
      <c r="R193" s="2">
        <v>1</v>
      </c>
      <c r="S193" s="2">
        <v>5</v>
      </c>
      <c r="T193" s="2">
        <v>5</v>
      </c>
      <c r="U193" s="2">
        <v>0</v>
      </c>
      <c r="V193" s="2" t="s">
        <v>45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 t="s">
        <v>0</v>
      </c>
      <c r="AD193" s="2">
        <v>1</v>
      </c>
      <c r="AE193" s="2" t="s">
        <v>46</v>
      </c>
    </row>
    <row r="194" spans="1:31" ht="25.5" x14ac:dyDescent="0.2">
      <c r="A194" s="5" t="str">
        <f>HYPERLINK("http://www.patentics.cn/invokexml.do?sf=ShowPatent&amp;spn=CN201876184&amp;sv=218832072ef095f19b1721b94350c7ea","CN201876184")</f>
        <v>CN201876184</v>
      </c>
      <c r="B194" s="3" t="s">
        <v>1012</v>
      </c>
      <c r="C194" s="3" t="s">
        <v>1013</v>
      </c>
      <c r="D194" s="3" t="s">
        <v>49</v>
      </c>
      <c r="E194" s="3" t="s">
        <v>50</v>
      </c>
      <c r="F194" s="3" t="s">
        <v>1014</v>
      </c>
      <c r="G194" s="3" t="s">
        <v>1015</v>
      </c>
      <c r="H194" s="3" t="s">
        <v>0</v>
      </c>
      <c r="I194" s="3" t="s">
        <v>90</v>
      </c>
      <c r="J194" s="3" t="s">
        <v>1016</v>
      </c>
      <c r="K194" s="3" t="s">
        <v>1017</v>
      </c>
      <c r="L194" s="3" t="s">
        <v>1018</v>
      </c>
      <c r="M194" s="3">
        <v>10</v>
      </c>
      <c r="N194" s="3">
        <v>8</v>
      </c>
      <c r="O194" s="3" t="s">
        <v>55</v>
      </c>
      <c r="P194" s="3" t="s">
        <v>44</v>
      </c>
      <c r="Q194" s="3">
        <v>0</v>
      </c>
      <c r="R194" s="3">
        <v>0</v>
      </c>
      <c r="S194" s="3">
        <v>0</v>
      </c>
      <c r="T194" s="3">
        <v>0</v>
      </c>
      <c r="U194" s="3">
        <v>10</v>
      </c>
      <c r="V194" s="3" t="s">
        <v>1019</v>
      </c>
      <c r="W194" s="3">
        <v>0</v>
      </c>
      <c r="X194" s="3">
        <v>10</v>
      </c>
      <c r="Y194" s="3">
        <v>3</v>
      </c>
      <c r="Z194" s="3">
        <v>1</v>
      </c>
      <c r="AA194" s="3">
        <v>0</v>
      </c>
      <c r="AB194" s="3">
        <v>0</v>
      </c>
      <c r="AC194" s="3">
        <v>12</v>
      </c>
      <c r="AD194" s="3" t="s">
        <v>0</v>
      </c>
      <c r="AE194" s="3" t="s">
        <v>46</v>
      </c>
    </row>
    <row r="195" spans="1:31" ht="51" x14ac:dyDescent="0.2">
      <c r="A195" s="4" t="str">
        <f>HYPERLINK("http://www.patentics.cn/invokexml.do?sf=ShowPatent&amp;spn=CN103976642B&amp;sv=936635901f5d6bc8f311f909ae9a8120","CN103976642B")</f>
        <v>CN103976642B</v>
      </c>
      <c r="B195" s="2" t="s">
        <v>1141</v>
      </c>
      <c r="C195" s="2" t="s">
        <v>1142</v>
      </c>
      <c r="D195" s="2" t="s">
        <v>1143</v>
      </c>
      <c r="E195" s="2" t="s">
        <v>624</v>
      </c>
      <c r="F195" s="2" t="s">
        <v>1144</v>
      </c>
      <c r="G195" s="2" t="s">
        <v>1145</v>
      </c>
      <c r="H195" s="2" t="s">
        <v>0</v>
      </c>
      <c r="I195" s="2" t="s">
        <v>1146</v>
      </c>
      <c r="J195" s="2" t="s">
        <v>153</v>
      </c>
      <c r="K195" s="2" t="s">
        <v>804</v>
      </c>
      <c r="L195" s="2" t="s">
        <v>899</v>
      </c>
      <c r="M195" s="2">
        <v>12</v>
      </c>
      <c r="N195" s="2">
        <v>23</v>
      </c>
      <c r="O195" s="2" t="s">
        <v>43</v>
      </c>
      <c r="P195" s="2" t="s">
        <v>44</v>
      </c>
      <c r="Q195" s="2">
        <v>6</v>
      </c>
      <c r="R195" s="2">
        <v>2</v>
      </c>
      <c r="S195" s="2">
        <v>4</v>
      </c>
      <c r="T195" s="2">
        <v>4</v>
      </c>
      <c r="U195" s="2">
        <v>0</v>
      </c>
      <c r="V195" s="2" t="s">
        <v>45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 t="s">
        <v>0</v>
      </c>
      <c r="AD195" s="2">
        <v>1</v>
      </c>
      <c r="AE195" s="2" t="s">
        <v>46</v>
      </c>
    </row>
    <row r="196" spans="1:31" ht="51" x14ac:dyDescent="0.2">
      <c r="A196" s="5" t="str">
        <f>HYPERLINK("http://www.patentics.cn/invokexml.do?sf=ShowPatent&amp;spn=CN202801171&amp;sv=099e1b389ae14f2bdcef8fab90bb00f5","CN202801171")</f>
        <v>CN202801171</v>
      </c>
      <c r="B196" s="3" t="s">
        <v>1147</v>
      </c>
      <c r="C196" s="3" t="s">
        <v>1148</v>
      </c>
      <c r="D196" s="3" t="s">
        <v>49</v>
      </c>
      <c r="E196" s="3" t="s">
        <v>50</v>
      </c>
      <c r="F196" s="3" t="s">
        <v>1149</v>
      </c>
      <c r="G196" s="3" t="s">
        <v>1150</v>
      </c>
      <c r="H196" s="3" t="s">
        <v>0</v>
      </c>
      <c r="I196" s="3" t="s">
        <v>1151</v>
      </c>
      <c r="J196" s="3" t="s">
        <v>168</v>
      </c>
      <c r="K196" s="3" t="s">
        <v>804</v>
      </c>
      <c r="L196" s="3" t="s">
        <v>1152</v>
      </c>
      <c r="M196" s="3">
        <v>10</v>
      </c>
      <c r="N196" s="3">
        <v>17</v>
      </c>
      <c r="O196" s="3" t="s">
        <v>55</v>
      </c>
      <c r="P196" s="3" t="s">
        <v>44</v>
      </c>
      <c r="Q196" s="3">
        <v>0</v>
      </c>
      <c r="R196" s="3">
        <v>0</v>
      </c>
      <c r="S196" s="3">
        <v>0</v>
      </c>
      <c r="T196" s="3">
        <v>0</v>
      </c>
      <c r="U196" s="3">
        <v>2</v>
      </c>
      <c r="V196" s="3" t="s">
        <v>141</v>
      </c>
      <c r="W196" s="3">
        <v>1</v>
      </c>
      <c r="X196" s="3">
        <v>1</v>
      </c>
      <c r="Y196" s="3">
        <v>2</v>
      </c>
      <c r="Z196" s="3">
        <v>1</v>
      </c>
      <c r="AA196" s="3">
        <v>0</v>
      </c>
      <c r="AB196" s="3">
        <v>0</v>
      </c>
      <c r="AC196" s="3">
        <v>12</v>
      </c>
      <c r="AD196" s="3" t="s">
        <v>0</v>
      </c>
      <c r="AE196" s="3" t="s">
        <v>57</v>
      </c>
    </row>
    <row r="197" spans="1:31" ht="25.5" x14ac:dyDescent="0.2">
      <c r="A197" s="4" t="str">
        <f>HYPERLINK("http://www.patentics.cn/invokexml.do?sf=ShowPatent&amp;spn=CN103945607B&amp;sv=5b01a84382c079ef88892f66bc06bda2","CN103945607B")</f>
        <v>CN103945607B</v>
      </c>
      <c r="B197" s="2" t="s">
        <v>1153</v>
      </c>
      <c r="C197" s="2" t="s">
        <v>1154</v>
      </c>
      <c r="D197" s="2" t="s">
        <v>79</v>
      </c>
      <c r="E197" s="2" t="s">
        <v>36</v>
      </c>
      <c r="F197" s="2" t="s">
        <v>1155</v>
      </c>
      <c r="G197" s="2" t="s">
        <v>1156</v>
      </c>
      <c r="H197" s="2" t="s">
        <v>0</v>
      </c>
      <c r="I197" s="2" t="s">
        <v>832</v>
      </c>
      <c r="J197" s="2" t="s">
        <v>153</v>
      </c>
      <c r="K197" s="2" t="s">
        <v>819</v>
      </c>
      <c r="L197" s="2" t="s">
        <v>1157</v>
      </c>
      <c r="M197" s="2">
        <v>6</v>
      </c>
      <c r="N197" s="2">
        <v>20</v>
      </c>
      <c r="O197" s="2" t="s">
        <v>43</v>
      </c>
      <c r="P197" s="2" t="s">
        <v>44</v>
      </c>
      <c r="Q197" s="2">
        <v>4</v>
      </c>
      <c r="R197" s="2">
        <v>1</v>
      </c>
      <c r="S197" s="2">
        <v>3</v>
      </c>
      <c r="T197" s="2">
        <v>4</v>
      </c>
      <c r="U197" s="2">
        <v>0</v>
      </c>
      <c r="V197" s="2" t="s">
        <v>45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 t="s">
        <v>0</v>
      </c>
      <c r="AD197" s="2">
        <v>1</v>
      </c>
      <c r="AE197" s="2" t="s">
        <v>46</v>
      </c>
    </row>
    <row r="198" spans="1:31" ht="25.5" x14ac:dyDescent="0.2">
      <c r="A198" s="5" t="str">
        <f>HYPERLINK("http://www.patentics.cn/invokexml.do?sf=ShowPatent&amp;spn=CN102810245&amp;sv=36c2f2a29accec7adad286c388ee21b1","CN102810245")</f>
        <v>CN102810245</v>
      </c>
      <c r="B198" s="3" t="s">
        <v>1158</v>
      </c>
      <c r="C198" s="3" t="s">
        <v>1159</v>
      </c>
      <c r="D198" s="3" t="s">
        <v>49</v>
      </c>
      <c r="E198" s="3" t="s">
        <v>50</v>
      </c>
      <c r="F198" s="3" t="s">
        <v>1160</v>
      </c>
      <c r="G198" s="3" t="s">
        <v>1160</v>
      </c>
      <c r="H198" s="3" t="s">
        <v>1161</v>
      </c>
      <c r="I198" s="3" t="s">
        <v>1161</v>
      </c>
      <c r="J198" s="3" t="s">
        <v>223</v>
      </c>
      <c r="K198" s="3" t="s">
        <v>1162</v>
      </c>
      <c r="L198" s="3" t="s">
        <v>1163</v>
      </c>
      <c r="M198" s="3">
        <v>10</v>
      </c>
      <c r="N198" s="3">
        <v>12</v>
      </c>
      <c r="O198" s="3" t="s">
        <v>75</v>
      </c>
      <c r="P198" s="3" t="s">
        <v>44</v>
      </c>
      <c r="Q198" s="3">
        <v>0</v>
      </c>
      <c r="R198" s="3">
        <v>0</v>
      </c>
      <c r="S198" s="3">
        <v>0</v>
      </c>
      <c r="T198" s="3">
        <v>0</v>
      </c>
      <c r="U198" s="3">
        <v>1</v>
      </c>
      <c r="V198" s="3" t="s">
        <v>284</v>
      </c>
      <c r="W198" s="3">
        <v>0</v>
      </c>
      <c r="X198" s="3">
        <v>1</v>
      </c>
      <c r="Y198" s="3">
        <v>1</v>
      </c>
      <c r="Z198" s="3">
        <v>1</v>
      </c>
      <c r="AA198" s="3">
        <v>1</v>
      </c>
      <c r="AB198" s="3">
        <v>1</v>
      </c>
      <c r="AC198" s="3">
        <v>12</v>
      </c>
      <c r="AD198" s="3" t="s">
        <v>0</v>
      </c>
      <c r="AE198" s="3" t="s">
        <v>46</v>
      </c>
    </row>
    <row r="199" spans="1:31" ht="38.25" x14ac:dyDescent="0.2">
      <c r="A199" s="4" t="str">
        <f>HYPERLINK("http://www.patentics.cn/invokexml.do?sf=ShowPatent&amp;spn=CN103775338B&amp;sv=2e72df73a7cb684ff3bd09d2e02324ac","CN103775338B")</f>
        <v>CN103775338B</v>
      </c>
      <c r="B199" s="2" t="s">
        <v>1164</v>
      </c>
      <c r="C199" s="2" t="s">
        <v>1165</v>
      </c>
      <c r="D199" s="2" t="s">
        <v>180</v>
      </c>
      <c r="E199" s="2" t="s">
        <v>36</v>
      </c>
      <c r="F199" s="2" t="s">
        <v>1166</v>
      </c>
      <c r="G199" s="2" t="s">
        <v>513</v>
      </c>
      <c r="H199" s="2" t="s">
        <v>851</v>
      </c>
      <c r="I199" s="2" t="s">
        <v>1167</v>
      </c>
      <c r="J199" s="2" t="s">
        <v>153</v>
      </c>
      <c r="K199" s="2" t="s">
        <v>185</v>
      </c>
      <c r="L199" s="2" t="s">
        <v>1168</v>
      </c>
      <c r="M199" s="2">
        <v>14</v>
      </c>
      <c r="N199" s="2">
        <v>33</v>
      </c>
      <c r="O199" s="2" t="s">
        <v>43</v>
      </c>
      <c r="P199" s="2" t="s">
        <v>44</v>
      </c>
      <c r="Q199" s="2">
        <v>5</v>
      </c>
      <c r="R199" s="2">
        <v>1</v>
      </c>
      <c r="S199" s="2">
        <v>4</v>
      </c>
      <c r="T199" s="2">
        <v>5</v>
      </c>
      <c r="U199" s="2">
        <v>0</v>
      </c>
      <c r="V199" s="2" t="s">
        <v>45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 t="s">
        <v>0</v>
      </c>
      <c r="AD199" s="2">
        <v>1</v>
      </c>
      <c r="AE199" s="2" t="s">
        <v>46</v>
      </c>
    </row>
    <row r="200" spans="1:31" ht="38.25" x14ac:dyDescent="0.2">
      <c r="A200" s="5" t="str">
        <f>HYPERLINK("http://www.patentics.cn/invokexml.do?sf=ShowPatent&amp;spn=CN203146331&amp;sv=69dd70548a92192164f7e740df7a81bc","CN203146331")</f>
        <v>CN203146331</v>
      </c>
      <c r="B200" s="3" t="s">
        <v>1169</v>
      </c>
      <c r="C200" s="3" t="s">
        <v>1170</v>
      </c>
      <c r="D200" s="3" t="s">
        <v>189</v>
      </c>
      <c r="E200" s="3" t="s">
        <v>190</v>
      </c>
      <c r="F200" s="3" t="s">
        <v>1171</v>
      </c>
      <c r="G200" s="3" t="s">
        <v>1172</v>
      </c>
      <c r="H200" s="3" t="s">
        <v>0</v>
      </c>
      <c r="I200" s="3" t="s">
        <v>1173</v>
      </c>
      <c r="J200" s="3" t="s">
        <v>1174</v>
      </c>
      <c r="K200" s="3" t="s">
        <v>185</v>
      </c>
      <c r="L200" s="3" t="s">
        <v>1175</v>
      </c>
      <c r="M200" s="3">
        <v>4</v>
      </c>
      <c r="N200" s="3">
        <v>48</v>
      </c>
      <c r="O200" s="3" t="s">
        <v>55</v>
      </c>
      <c r="P200" s="3" t="s">
        <v>44</v>
      </c>
      <c r="Q200" s="3">
        <v>0</v>
      </c>
      <c r="R200" s="3">
        <v>0</v>
      </c>
      <c r="S200" s="3">
        <v>0</v>
      </c>
      <c r="T200" s="3">
        <v>0</v>
      </c>
      <c r="U200" s="3">
        <v>2</v>
      </c>
      <c r="V200" s="3" t="s">
        <v>374</v>
      </c>
      <c r="W200" s="3">
        <v>0</v>
      </c>
      <c r="X200" s="3">
        <v>2</v>
      </c>
      <c r="Y200" s="3">
        <v>1</v>
      </c>
      <c r="Z200" s="3">
        <v>1</v>
      </c>
      <c r="AA200" s="3">
        <v>0</v>
      </c>
      <c r="AB200" s="3">
        <v>0</v>
      </c>
      <c r="AC200" s="3">
        <v>12</v>
      </c>
      <c r="AD200" s="3" t="s">
        <v>0</v>
      </c>
      <c r="AE200" s="3" t="s">
        <v>46</v>
      </c>
    </row>
    <row r="201" spans="1:31" ht="38.25" x14ac:dyDescent="0.2">
      <c r="A201" s="4" t="str">
        <f>HYPERLINK("http://www.patentics.cn/invokexml.do?sf=ShowPatent&amp;spn=CN103742414B&amp;sv=25859d1a8d3b777c74425617d521b8f5","CN103742414B")</f>
        <v>CN103742414B</v>
      </c>
      <c r="B201" s="2" t="s">
        <v>1176</v>
      </c>
      <c r="C201" s="2" t="s">
        <v>1177</v>
      </c>
      <c r="D201" s="2" t="s">
        <v>1092</v>
      </c>
      <c r="E201" s="2" t="s">
        <v>36</v>
      </c>
      <c r="F201" s="2" t="s">
        <v>1178</v>
      </c>
      <c r="G201" s="2" t="s">
        <v>1179</v>
      </c>
      <c r="H201" s="2" t="s">
        <v>0</v>
      </c>
      <c r="I201" s="2" t="s">
        <v>1180</v>
      </c>
      <c r="J201" s="2" t="s">
        <v>153</v>
      </c>
      <c r="K201" s="2" t="s">
        <v>185</v>
      </c>
      <c r="L201" s="2" t="s">
        <v>195</v>
      </c>
      <c r="M201" s="2">
        <v>8</v>
      </c>
      <c r="N201" s="2">
        <v>27</v>
      </c>
      <c r="O201" s="2" t="s">
        <v>43</v>
      </c>
      <c r="P201" s="2" t="s">
        <v>44</v>
      </c>
      <c r="Q201" s="2">
        <v>5</v>
      </c>
      <c r="R201" s="2">
        <v>2</v>
      </c>
      <c r="S201" s="2">
        <v>3</v>
      </c>
      <c r="T201" s="2">
        <v>4</v>
      </c>
      <c r="U201" s="2">
        <v>0</v>
      </c>
      <c r="V201" s="2" t="s">
        <v>45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 t="s">
        <v>0</v>
      </c>
      <c r="AD201" s="2">
        <v>1</v>
      </c>
      <c r="AE201" s="2" t="s">
        <v>46</v>
      </c>
    </row>
    <row r="202" spans="1:31" ht="38.25" x14ac:dyDescent="0.2">
      <c r="A202" s="5" t="str">
        <f>HYPERLINK("http://www.patentics.cn/invokexml.do?sf=ShowPatent&amp;spn=CN202001306&amp;sv=90487905e01811e6b7f8f69c34cebf0a","CN202001306")</f>
        <v>CN202001306</v>
      </c>
      <c r="B202" s="3" t="s">
        <v>1181</v>
      </c>
      <c r="C202" s="3" t="s">
        <v>1182</v>
      </c>
      <c r="D202" s="3" t="s">
        <v>189</v>
      </c>
      <c r="E202" s="3" t="s">
        <v>190</v>
      </c>
      <c r="F202" s="3" t="s">
        <v>1183</v>
      </c>
      <c r="G202" s="3" t="s">
        <v>1184</v>
      </c>
      <c r="H202" s="3" t="s">
        <v>0</v>
      </c>
      <c r="I202" s="3" t="s">
        <v>1185</v>
      </c>
      <c r="J202" s="3" t="s">
        <v>1186</v>
      </c>
      <c r="K202" s="3" t="s">
        <v>185</v>
      </c>
      <c r="L202" s="3" t="s">
        <v>195</v>
      </c>
      <c r="M202" s="3">
        <v>6</v>
      </c>
      <c r="N202" s="3">
        <v>18</v>
      </c>
      <c r="O202" s="3" t="s">
        <v>55</v>
      </c>
      <c r="P202" s="3" t="s">
        <v>44</v>
      </c>
      <c r="Q202" s="3">
        <v>0</v>
      </c>
      <c r="R202" s="3">
        <v>0</v>
      </c>
      <c r="S202" s="3">
        <v>0</v>
      </c>
      <c r="T202" s="3">
        <v>0</v>
      </c>
      <c r="U202" s="3">
        <v>1</v>
      </c>
      <c r="V202" s="3" t="s">
        <v>224</v>
      </c>
      <c r="W202" s="3">
        <v>0</v>
      </c>
      <c r="X202" s="3">
        <v>1</v>
      </c>
      <c r="Y202" s="3">
        <v>1</v>
      </c>
      <c r="Z202" s="3">
        <v>1</v>
      </c>
      <c r="AA202" s="3">
        <v>0</v>
      </c>
      <c r="AB202" s="3">
        <v>0</v>
      </c>
      <c r="AC202" s="3">
        <v>12</v>
      </c>
      <c r="AD202" s="3" t="s">
        <v>0</v>
      </c>
      <c r="AE202" s="3" t="s">
        <v>46</v>
      </c>
    </row>
    <row r="203" spans="1:31" ht="38.25" x14ac:dyDescent="0.2">
      <c r="A203" s="4" t="str">
        <f>HYPERLINK("http://www.patentics.cn/invokexml.do?sf=ShowPatent&amp;spn=CN103557161B&amp;sv=a4d6c9b1793022a10f8be3e008b965af","CN103557161B")</f>
        <v>CN103557161B</v>
      </c>
      <c r="B203" s="2" t="s">
        <v>1187</v>
      </c>
      <c r="C203" s="2" t="s">
        <v>400</v>
      </c>
      <c r="D203" s="2" t="s">
        <v>180</v>
      </c>
      <c r="E203" s="2" t="s">
        <v>36</v>
      </c>
      <c r="F203" s="2" t="s">
        <v>1188</v>
      </c>
      <c r="G203" s="2" t="s">
        <v>1189</v>
      </c>
      <c r="H203" s="2" t="s">
        <v>0</v>
      </c>
      <c r="I203" s="2" t="s">
        <v>1190</v>
      </c>
      <c r="J203" s="2" t="s">
        <v>153</v>
      </c>
      <c r="K203" s="2" t="s">
        <v>185</v>
      </c>
      <c r="L203" s="2" t="s">
        <v>373</v>
      </c>
      <c r="M203" s="2">
        <v>11</v>
      </c>
      <c r="N203" s="2">
        <v>21</v>
      </c>
      <c r="O203" s="2" t="s">
        <v>43</v>
      </c>
      <c r="P203" s="2" t="s">
        <v>44</v>
      </c>
      <c r="Q203" s="2">
        <v>3</v>
      </c>
      <c r="R203" s="2">
        <v>0</v>
      </c>
      <c r="S203" s="2">
        <v>3</v>
      </c>
      <c r="T203" s="2">
        <v>3</v>
      </c>
      <c r="U203" s="2">
        <v>0</v>
      </c>
      <c r="V203" s="2" t="s">
        <v>45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 t="s">
        <v>0</v>
      </c>
      <c r="AD203" s="2">
        <v>1</v>
      </c>
      <c r="AE203" s="2" t="s">
        <v>46</v>
      </c>
    </row>
    <row r="204" spans="1:31" ht="25.5" x14ac:dyDescent="0.2">
      <c r="A204" s="5" t="str">
        <f>HYPERLINK("http://www.patentics.cn/invokexml.do?sf=ShowPatent&amp;spn=CN102691661&amp;sv=fa3c06ebdd627936847264ec3c46f36e","CN102691661")</f>
        <v>CN102691661</v>
      </c>
      <c r="B204" s="3" t="s">
        <v>1191</v>
      </c>
      <c r="C204" s="3" t="s">
        <v>511</v>
      </c>
      <c r="D204" s="3" t="s">
        <v>377</v>
      </c>
      <c r="E204" s="3" t="s">
        <v>50</v>
      </c>
      <c r="F204" s="3" t="s">
        <v>1192</v>
      </c>
      <c r="G204" s="3" t="s">
        <v>1192</v>
      </c>
      <c r="H204" s="3" t="s">
        <v>1088</v>
      </c>
      <c r="I204" s="3" t="s">
        <v>1088</v>
      </c>
      <c r="J204" s="3" t="s">
        <v>167</v>
      </c>
      <c r="K204" s="3" t="s">
        <v>185</v>
      </c>
      <c r="L204" s="3" t="s">
        <v>195</v>
      </c>
      <c r="M204" s="3">
        <v>10</v>
      </c>
      <c r="N204" s="3">
        <v>11</v>
      </c>
      <c r="O204" s="3" t="s">
        <v>75</v>
      </c>
      <c r="P204" s="3" t="s">
        <v>44</v>
      </c>
      <c r="Q204" s="3">
        <v>0</v>
      </c>
      <c r="R204" s="3">
        <v>0</v>
      </c>
      <c r="S204" s="3">
        <v>0</v>
      </c>
      <c r="T204" s="3">
        <v>0</v>
      </c>
      <c r="U204" s="3">
        <v>1</v>
      </c>
      <c r="V204" s="3" t="s">
        <v>256</v>
      </c>
      <c r="W204" s="3">
        <v>0</v>
      </c>
      <c r="X204" s="3">
        <v>1</v>
      </c>
      <c r="Y204" s="3">
        <v>1</v>
      </c>
      <c r="Z204" s="3">
        <v>1</v>
      </c>
      <c r="AA204" s="3">
        <v>1</v>
      </c>
      <c r="AB204" s="3">
        <v>1</v>
      </c>
      <c r="AC204" s="3">
        <v>12</v>
      </c>
      <c r="AD204" s="3" t="s">
        <v>0</v>
      </c>
      <c r="AE204" s="3" t="s">
        <v>46</v>
      </c>
    </row>
    <row r="205" spans="1:31" ht="25.5" x14ac:dyDescent="0.2">
      <c r="A205" s="4" t="str">
        <f>HYPERLINK("http://www.patentics.cn/invokexml.do?sf=ShowPatent&amp;spn=CN103511264B&amp;sv=e775ca4836e738dfd9bf0e6180301703","CN103511264B")</f>
        <v>CN103511264B</v>
      </c>
      <c r="B205" s="2" t="s">
        <v>1193</v>
      </c>
      <c r="C205" s="2" t="s">
        <v>361</v>
      </c>
      <c r="D205" s="2" t="s">
        <v>180</v>
      </c>
      <c r="E205" s="2" t="s">
        <v>36</v>
      </c>
      <c r="F205" s="2" t="s">
        <v>1194</v>
      </c>
      <c r="G205" s="2" t="s">
        <v>1194</v>
      </c>
      <c r="H205" s="2" t="s">
        <v>0</v>
      </c>
      <c r="I205" s="2" t="s">
        <v>1195</v>
      </c>
      <c r="J205" s="2" t="s">
        <v>153</v>
      </c>
      <c r="K205" s="2" t="s">
        <v>185</v>
      </c>
      <c r="L205" s="2" t="s">
        <v>216</v>
      </c>
      <c r="M205" s="2">
        <v>17</v>
      </c>
      <c r="N205" s="2">
        <v>18</v>
      </c>
      <c r="O205" s="2" t="s">
        <v>43</v>
      </c>
      <c r="P205" s="2" t="s">
        <v>44</v>
      </c>
      <c r="Q205" s="2">
        <v>8</v>
      </c>
      <c r="R205" s="2">
        <v>2</v>
      </c>
      <c r="S205" s="2">
        <v>6</v>
      </c>
      <c r="T205" s="2">
        <v>5</v>
      </c>
      <c r="U205" s="2">
        <v>0</v>
      </c>
      <c r="V205" s="2" t="s">
        <v>45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 t="s">
        <v>0</v>
      </c>
      <c r="AD205" s="2">
        <v>1</v>
      </c>
      <c r="AE205" s="2" t="s">
        <v>46</v>
      </c>
    </row>
    <row r="206" spans="1:31" ht="25.5" x14ac:dyDescent="0.2">
      <c r="A206" s="5" t="str">
        <f>HYPERLINK("http://www.patentics.cn/invokexml.do?sf=ShowPatent&amp;spn=CN202326244&amp;sv=cf597724c5c6bb805ae48c53656eba55","CN202326244")</f>
        <v>CN202326244</v>
      </c>
      <c r="B206" s="3" t="s">
        <v>1196</v>
      </c>
      <c r="C206" s="3" t="s">
        <v>1197</v>
      </c>
      <c r="D206" s="3" t="s">
        <v>377</v>
      </c>
      <c r="E206" s="3" t="s">
        <v>50</v>
      </c>
      <c r="F206" s="3" t="s">
        <v>1198</v>
      </c>
      <c r="G206" s="3" t="s">
        <v>1199</v>
      </c>
      <c r="H206" s="3" t="s">
        <v>0</v>
      </c>
      <c r="I206" s="3" t="s">
        <v>1200</v>
      </c>
      <c r="J206" s="3" t="s">
        <v>1201</v>
      </c>
      <c r="K206" s="3" t="s">
        <v>185</v>
      </c>
      <c r="L206" s="3" t="s">
        <v>1069</v>
      </c>
      <c r="M206" s="3">
        <v>9</v>
      </c>
      <c r="N206" s="3">
        <v>10</v>
      </c>
      <c r="O206" s="3" t="s">
        <v>55</v>
      </c>
      <c r="P206" s="3" t="s">
        <v>44</v>
      </c>
      <c r="Q206" s="3">
        <v>0</v>
      </c>
      <c r="R206" s="3">
        <v>0</v>
      </c>
      <c r="S206" s="3">
        <v>0</v>
      </c>
      <c r="T206" s="3">
        <v>0</v>
      </c>
      <c r="U206" s="3">
        <v>2</v>
      </c>
      <c r="V206" s="3" t="s">
        <v>203</v>
      </c>
      <c r="W206" s="3">
        <v>1</v>
      </c>
      <c r="X206" s="3">
        <v>1</v>
      </c>
      <c r="Y206" s="3">
        <v>2</v>
      </c>
      <c r="Z206" s="3">
        <v>1</v>
      </c>
      <c r="AA206" s="3">
        <v>0</v>
      </c>
      <c r="AB206" s="3">
        <v>0</v>
      </c>
      <c r="AC206" s="3">
        <v>12</v>
      </c>
      <c r="AD206" s="3" t="s">
        <v>0</v>
      </c>
      <c r="AE206" s="3" t="s">
        <v>46</v>
      </c>
    </row>
    <row r="207" spans="1:31" ht="38.25" x14ac:dyDescent="0.2">
      <c r="A207" s="4" t="str">
        <f>HYPERLINK("http://www.patentics.cn/invokexml.do?sf=ShowPatent&amp;spn=CN103267390B&amp;sv=ef2ff77d98cd38f7d40463721f106e4e","CN103267390B")</f>
        <v>CN103267390B</v>
      </c>
      <c r="B207" s="2" t="s">
        <v>1202</v>
      </c>
      <c r="C207" s="2" t="s">
        <v>1203</v>
      </c>
      <c r="D207" s="2" t="s">
        <v>35</v>
      </c>
      <c r="E207" s="2" t="s">
        <v>36</v>
      </c>
      <c r="F207" s="2" t="s">
        <v>1204</v>
      </c>
      <c r="G207" s="2" t="s">
        <v>1205</v>
      </c>
      <c r="H207" s="2" t="s">
        <v>0</v>
      </c>
      <c r="I207" s="2" t="s">
        <v>1206</v>
      </c>
      <c r="J207" s="2" t="s">
        <v>1207</v>
      </c>
      <c r="K207" s="2" t="s">
        <v>347</v>
      </c>
      <c r="L207" s="2" t="s">
        <v>1011</v>
      </c>
      <c r="M207" s="2">
        <v>8</v>
      </c>
      <c r="N207" s="2">
        <v>23</v>
      </c>
      <c r="O207" s="2" t="s">
        <v>43</v>
      </c>
      <c r="P207" s="2" t="s">
        <v>44</v>
      </c>
      <c r="Q207" s="2">
        <v>7</v>
      </c>
      <c r="R207" s="2">
        <v>2</v>
      </c>
      <c r="S207" s="2">
        <v>5</v>
      </c>
      <c r="T207" s="2">
        <v>6</v>
      </c>
      <c r="U207" s="2">
        <v>0</v>
      </c>
      <c r="V207" s="2" t="s">
        <v>45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 t="s">
        <v>0</v>
      </c>
      <c r="AD207" s="2">
        <v>1</v>
      </c>
      <c r="AE207" s="2" t="s">
        <v>46</v>
      </c>
    </row>
    <row r="208" spans="1:31" ht="25.5" x14ac:dyDescent="0.2">
      <c r="A208" s="5" t="str">
        <f>HYPERLINK("http://www.patentics.cn/invokexml.do?sf=ShowPatent&amp;spn=CN201621986&amp;sv=70f929444ff41afaf19441fb767bdc98","CN201621986")</f>
        <v>CN201621986</v>
      </c>
      <c r="B208" s="3" t="s">
        <v>1208</v>
      </c>
      <c r="C208" s="3" t="s">
        <v>1209</v>
      </c>
      <c r="D208" s="3" t="s">
        <v>49</v>
      </c>
      <c r="E208" s="3" t="s">
        <v>50</v>
      </c>
      <c r="F208" s="3" t="s">
        <v>1014</v>
      </c>
      <c r="G208" s="3" t="s">
        <v>1015</v>
      </c>
      <c r="H208" s="3" t="s">
        <v>0</v>
      </c>
      <c r="I208" s="3" t="s">
        <v>1210</v>
      </c>
      <c r="J208" s="3" t="s">
        <v>1062</v>
      </c>
      <c r="K208" s="3" t="s">
        <v>1211</v>
      </c>
      <c r="L208" s="3" t="s">
        <v>1212</v>
      </c>
      <c r="M208" s="3">
        <v>12</v>
      </c>
      <c r="N208" s="3">
        <v>11</v>
      </c>
      <c r="O208" s="3" t="s">
        <v>55</v>
      </c>
      <c r="P208" s="3" t="s">
        <v>44</v>
      </c>
      <c r="Q208" s="3">
        <v>0</v>
      </c>
      <c r="R208" s="3">
        <v>0</v>
      </c>
      <c r="S208" s="3">
        <v>0</v>
      </c>
      <c r="T208" s="3">
        <v>0</v>
      </c>
      <c r="U208" s="3">
        <v>1</v>
      </c>
      <c r="V208" s="3" t="s">
        <v>177</v>
      </c>
      <c r="W208" s="3">
        <v>0</v>
      </c>
      <c r="X208" s="3">
        <v>1</v>
      </c>
      <c r="Y208" s="3">
        <v>1</v>
      </c>
      <c r="Z208" s="3">
        <v>1</v>
      </c>
      <c r="AA208" s="3">
        <v>0</v>
      </c>
      <c r="AB208" s="3">
        <v>0</v>
      </c>
      <c r="AC208" s="3">
        <v>12</v>
      </c>
      <c r="AD208" s="3" t="s">
        <v>0</v>
      </c>
      <c r="AE208" s="3" t="s">
        <v>46</v>
      </c>
    </row>
    <row r="209" spans="1:31" ht="63.75" x14ac:dyDescent="0.2">
      <c r="A209" s="4" t="str">
        <f>HYPERLINK("http://www.patentics.cn/invokexml.do?sf=ShowPatent&amp;spn=CN103900342B&amp;sv=b987f373a906363a492699586a2d7b6e","CN103900342B")</f>
        <v>CN103900342B</v>
      </c>
      <c r="B209" s="2" t="s">
        <v>1213</v>
      </c>
      <c r="C209" s="2" t="s">
        <v>1214</v>
      </c>
      <c r="D209" s="2" t="s">
        <v>1215</v>
      </c>
      <c r="E209" s="2" t="s">
        <v>36</v>
      </c>
      <c r="F209" s="2" t="s">
        <v>1216</v>
      </c>
      <c r="G209" s="2" t="s">
        <v>1217</v>
      </c>
      <c r="H209" s="2" t="s">
        <v>0</v>
      </c>
      <c r="I209" s="2" t="s">
        <v>1218</v>
      </c>
      <c r="J209" s="2" t="s">
        <v>1219</v>
      </c>
      <c r="K209" s="2" t="s">
        <v>1220</v>
      </c>
      <c r="L209" s="2" t="s">
        <v>1221</v>
      </c>
      <c r="M209" s="2">
        <v>9</v>
      </c>
      <c r="N209" s="2">
        <v>16</v>
      </c>
      <c r="O209" s="2" t="s">
        <v>43</v>
      </c>
      <c r="P209" s="2" t="s">
        <v>44</v>
      </c>
      <c r="Q209" s="2">
        <v>7</v>
      </c>
      <c r="R209" s="2">
        <v>1</v>
      </c>
      <c r="S209" s="2">
        <v>6</v>
      </c>
      <c r="T209" s="2">
        <v>7</v>
      </c>
      <c r="U209" s="2">
        <v>0</v>
      </c>
      <c r="V209" s="2" t="s">
        <v>45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 t="s">
        <v>0</v>
      </c>
      <c r="AD209" s="2">
        <v>1</v>
      </c>
      <c r="AE209" s="2" t="s">
        <v>46</v>
      </c>
    </row>
    <row r="210" spans="1:31" ht="25.5" x14ac:dyDescent="0.2">
      <c r="A210" s="5" t="str">
        <f>HYPERLINK("http://www.patentics.cn/invokexml.do?sf=ShowPatent&amp;spn=CN101413708&amp;sv=0a83eaa6f87d760fbe3e7bcdca44a0e5","CN101413708")</f>
        <v>CN101413708</v>
      </c>
      <c r="B210" s="3" t="s">
        <v>1222</v>
      </c>
      <c r="C210" s="3" t="s">
        <v>1223</v>
      </c>
      <c r="D210" s="3" t="s">
        <v>49</v>
      </c>
      <c r="E210" s="3" t="s">
        <v>50</v>
      </c>
      <c r="F210" s="3" t="s">
        <v>1224</v>
      </c>
      <c r="G210" s="3" t="s">
        <v>253</v>
      </c>
      <c r="H210" s="3" t="s">
        <v>1225</v>
      </c>
      <c r="I210" s="3" t="s">
        <v>1225</v>
      </c>
      <c r="J210" s="3" t="s">
        <v>1226</v>
      </c>
      <c r="K210" s="3" t="s">
        <v>41</v>
      </c>
      <c r="L210" s="3" t="s">
        <v>84</v>
      </c>
      <c r="M210" s="3">
        <v>14</v>
      </c>
      <c r="N210" s="3">
        <v>20</v>
      </c>
      <c r="O210" s="3" t="s">
        <v>75</v>
      </c>
      <c r="P210" s="3" t="s">
        <v>44</v>
      </c>
      <c r="Q210" s="3">
        <v>0</v>
      </c>
      <c r="R210" s="3">
        <v>0</v>
      </c>
      <c r="S210" s="3">
        <v>0</v>
      </c>
      <c r="T210" s="3">
        <v>0</v>
      </c>
      <c r="U210" s="3">
        <v>1</v>
      </c>
      <c r="V210" s="3" t="s">
        <v>177</v>
      </c>
      <c r="W210" s="3">
        <v>0</v>
      </c>
      <c r="X210" s="3">
        <v>1</v>
      </c>
      <c r="Y210" s="3">
        <v>1</v>
      </c>
      <c r="Z210" s="3">
        <v>1</v>
      </c>
      <c r="AA210" s="3">
        <v>1</v>
      </c>
      <c r="AB210" s="3">
        <v>1</v>
      </c>
      <c r="AC210" s="3">
        <v>12</v>
      </c>
      <c r="AD210" s="3" t="s">
        <v>0</v>
      </c>
      <c r="AE210" s="3" t="s">
        <v>46</v>
      </c>
    </row>
    <row r="211" spans="1:31" ht="25.5" x14ac:dyDescent="0.2">
      <c r="A211" s="4" t="str">
        <f>HYPERLINK("http://www.patentics.cn/invokexml.do?sf=ShowPatent&amp;spn=CN103335474B&amp;sv=8bc2fea44814f0001a6bad7442d9bbe2","CN103335474B")</f>
        <v>CN103335474B</v>
      </c>
      <c r="B211" s="2" t="s">
        <v>1227</v>
      </c>
      <c r="C211" s="2" t="s">
        <v>1228</v>
      </c>
      <c r="D211" s="2" t="s">
        <v>1215</v>
      </c>
      <c r="E211" s="2" t="s">
        <v>36</v>
      </c>
      <c r="F211" s="2" t="s">
        <v>1229</v>
      </c>
      <c r="G211" s="2" t="s">
        <v>1230</v>
      </c>
      <c r="H211" s="2" t="s">
        <v>0</v>
      </c>
      <c r="I211" s="2" t="s">
        <v>1231</v>
      </c>
      <c r="J211" s="2" t="s">
        <v>1219</v>
      </c>
      <c r="K211" s="2" t="s">
        <v>1220</v>
      </c>
      <c r="L211" s="2" t="s">
        <v>1232</v>
      </c>
      <c r="M211" s="2">
        <v>6</v>
      </c>
      <c r="N211" s="2">
        <v>17</v>
      </c>
      <c r="O211" s="2" t="s">
        <v>43</v>
      </c>
      <c r="P211" s="2" t="s">
        <v>44</v>
      </c>
      <c r="Q211" s="2">
        <v>6</v>
      </c>
      <c r="R211" s="2">
        <v>1</v>
      </c>
      <c r="S211" s="2">
        <v>5</v>
      </c>
      <c r="T211" s="2">
        <v>6</v>
      </c>
      <c r="U211" s="2">
        <v>0</v>
      </c>
      <c r="V211" s="2" t="s">
        <v>45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 t="s">
        <v>0</v>
      </c>
      <c r="AD211" s="2">
        <v>1</v>
      </c>
      <c r="AE211" s="2" t="s">
        <v>46</v>
      </c>
    </row>
    <row r="212" spans="1:31" ht="25.5" x14ac:dyDescent="0.2">
      <c r="A212" s="5" t="str">
        <f>HYPERLINK("http://www.patentics.cn/invokexml.do?sf=ShowPatent&amp;spn=CN202484171&amp;sv=e927c9e12bd4fef56b36bdb2f609a099","CN202484171")</f>
        <v>CN202484171</v>
      </c>
      <c r="B212" s="3" t="s">
        <v>1233</v>
      </c>
      <c r="C212" s="3" t="s">
        <v>1234</v>
      </c>
      <c r="D212" s="3" t="s">
        <v>1235</v>
      </c>
      <c r="E212" s="3" t="s">
        <v>50</v>
      </c>
      <c r="F212" s="3" t="s">
        <v>1236</v>
      </c>
      <c r="G212" s="3" t="s">
        <v>1237</v>
      </c>
      <c r="H212" s="3" t="s">
        <v>0</v>
      </c>
      <c r="I212" s="3" t="s">
        <v>222</v>
      </c>
      <c r="J212" s="3" t="s">
        <v>146</v>
      </c>
      <c r="K212" s="3" t="s">
        <v>1238</v>
      </c>
      <c r="L212" s="3" t="s">
        <v>1239</v>
      </c>
      <c r="M212" s="3">
        <v>4</v>
      </c>
      <c r="N212" s="3">
        <v>18</v>
      </c>
      <c r="O212" s="3" t="s">
        <v>55</v>
      </c>
      <c r="P212" s="3" t="s">
        <v>44</v>
      </c>
      <c r="Q212" s="3">
        <v>0</v>
      </c>
      <c r="R212" s="3">
        <v>0</v>
      </c>
      <c r="S212" s="3">
        <v>0</v>
      </c>
      <c r="T212" s="3">
        <v>0</v>
      </c>
      <c r="U212" s="3">
        <v>2</v>
      </c>
      <c r="V212" s="3" t="s">
        <v>1240</v>
      </c>
      <c r="W212" s="3">
        <v>0</v>
      </c>
      <c r="X212" s="3">
        <v>2</v>
      </c>
      <c r="Y212" s="3">
        <v>2</v>
      </c>
      <c r="Z212" s="3">
        <v>1</v>
      </c>
      <c r="AA212" s="3">
        <v>0</v>
      </c>
      <c r="AB212" s="3">
        <v>0</v>
      </c>
      <c r="AC212" s="3">
        <v>12</v>
      </c>
      <c r="AD212" s="3" t="s">
        <v>0</v>
      </c>
      <c r="AE212" s="3" t="s">
        <v>46</v>
      </c>
    </row>
    <row r="213" spans="1:31" ht="25.5" x14ac:dyDescent="0.2">
      <c r="A213" s="4" t="str">
        <f>HYPERLINK("http://www.patentics.cn/invokexml.do?sf=ShowPatent&amp;spn=CN103615372B&amp;sv=dfd6f15dd5b9a234ebe6302248d79a78","CN103615372B")</f>
        <v>CN103615372B</v>
      </c>
      <c r="B213" s="2" t="s">
        <v>1241</v>
      </c>
      <c r="C213" s="2" t="s">
        <v>400</v>
      </c>
      <c r="D213" s="2" t="s">
        <v>180</v>
      </c>
      <c r="E213" s="2" t="s">
        <v>36</v>
      </c>
      <c r="F213" s="2" t="s">
        <v>1242</v>
      </c>
      <c r="G213" s="2" t="s">
        <v>1242</v>
      </c>
      <c r="H213" s="2" t="s">
        <v>0</v>
      </c>
      <c r="I213" s="2" t="s">
        <v>1243</v>
      </c>
      <c r="J213" s="2" t="s">
        <v>184</v>
      </c>
      <c r="K213" s="2" t="s">
        <v>403</v>
      </c>
      <c r="L213" s="2" t="s">
        <v>643</v>
      </c>
      <c r="M213" s="2">
        <v>12</v>
      </c>
      <c r="N213" s="2">
        <v>13</v>
      </c>
      <c r="O213" s="2" t="s">
        <v>43</v>
      </c>
      <c r="P213" s="2" t="s">
        <v>44</v>
      </c>
      <c r="Q213" s="2">
        <v>7</v>
      </c>
      <c r="R213" s="2">
        <v>1</v>
      </c>
      <c r="S213" s="2">
        <v>6</v>
      </c>
      <c r="T213" s="2">
        <v>5</v>
      </c>
      <c r="U213" s="2">
        <v>0</v>
      </c>
      <c r="V213" s="2" t="s">
        <v>45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 t="s">
        <v>0</v>
      </c>
      <c r="AD213" s="2">
        <v>1</v>
      </c>
      <c r="AE213" s="2" t="s">
        <v>46</v>
      </c>
    </row>
    <row r="214" spans="1:31" ht="25.5" x14ac:dyDescent="0.2">
      <c r="A214" s="5" t="str">
        <f>HYPERLINK("http://www.patentics.cn/invokexml.do?sf=ShowPatent&amp;spn=CN102562600&amp;sv=a8179b4c3eadad17c8749c62caeddcc9","CN102562600")</f>
        <v>CN102562600</v>
      </c>
      <c r="B214" s="3" t="s">
        <v>1244</v>
      </c>
      <c r="C214" s="3" t="s">
        <v>1245</v>
      </c>
      <c r="D214" s="3" t="s">
        <v>377</v>
      </c>
      <c r="E214" s="3" t="s">
        <v>50</v>
      </c>
      <c r="F214" s="3" t="s">
        <v>1246</v>
      </c>
      <c r="G214" s="3" t="s">
        <v>1246</v>
      </c>
      <c r="H214" s="3" t="s">
        <v>1247</v>
      </c>
      <c r="I214" s="3" t="s">
        <v>1247</v>
      </c>
      <c r="J214" s="3" t="s">
        <v>1201</v>
      </c>
      <c r="K214" s="3" t="s">
        <v>185</v>
      </c>
      <c r="L214" s="3" t="s">
        <v>1248</v>
      </c>
      <c r="M214" s="3">
        <v>10</v>
      </c>
      <c r="N214" s="3">
        <v>5</v>
      </c>
      <c r="O214" s="3" t="s">
        <v>75</v>
      </c>
      <c r="P214" s="3" t="s">
        <v>44</v>
      </c>
      <c r="Q214" s="3">
        <v>0</v>
      </c>
      <c r="R214" s="3">
        <v>0</v>
      </c>
      <c r="S214" s="3">
        <v>0</v>
      </c>
      <c r="T214" s="3">
        <v>0</v>
      </c>
      <c r="U214" s="3">
        <v>1</v>
      </c>
      <c r="V214" s="3" t="s">
        <v>177</v>
      </c>
      <c r="W214" s="3">
        <v>0</v>
      </c>
      <c r="X214" s="3">
        <v>1</v>
      </c>
      <c r="Y214" s="3">
        <v>1</v>
      </c>
      <c r="Z214" s="3">
        <v>1</v>
      </c>
      <c r="AA214" s="3">
        <v>1</v>
      </c>
      <c r="AB214" s="3">
        <v>1</v>
      </c>
      <c r="AC214" s="3">
        <v>12</v>
      </c>
      <c r="AD214" s="3" t="s">
        <v>0</v>
      </c>
      <c r="AE214" s="3" t="s">
        <v>46</v>
      </c>
    </row>
    <row r="215" spans="1:31" ht="63.75" x14ac:dyDescent="0.2">
      <c r="A215" s="4" t="str">
        <f>HYPERLINK("http://www.patentics.cn/invokexml.do?sf=ShowPatent&amp;spn=CN103673372B&amp;sv=3b76e2f7cd1e6aeb12de4b144104aa40","CN103673372B")</f>
        <v>CN103673372B</v>
      </c>
      <c r="B215" s="2" t="s">
        <v>1249</v>
      </c>
      <c r="C215" s="2" t="s">
        <v>1250</v>
      </c>
      <c r="D215" s="2" t="s">
        <v>1078</v>
      </c>
      <c r="E215" s="2" t="s">
        <v>36</v>
      </c>
      <c r="F215" s="2" t="s">
        <v>1251</v>
      </c>
      <c r="G215" s="2" t="s">
        <v>1252</v>
      </c>
      <c r="H215" s="2" t="s">
        <v>0</v>
      </c>
      <c r="I215" s="2" t="s">
        <v>1253</v>
      </c>
      <c r="J215" s="2" t="s">
        <v>184</v>
      </c>
      <c r="K215" s="2" t="s">
        <v>347</v>
      </c>
      <c r="L215" s="2" t="s">
        <v>482</v>
      </c>
      <c r="M215" s="2">
        <v>4</v>
      </c>
      <c r="N215" s="2">
        <v>42</v>
      </c>
      <c r="O215" s="2" t="s">
        <v>43</v>
      </c>
      <c r="P215" s="2" t="s">
        <v>44</v>
      </c>
      <c r="Q215" s="2">
        <v>4</v>
      </c>
      <c r="R215" s="2">
        <v>1</v>
      </c>
      <c r="S215" s="2">
        <v>3</v>
      </c>
      <c r="T215" s="2">
        <v>4</v>
      </c>
      <c r="U215" s="2">
        <v>0</v>
      </c>
      <c r="V215" s="2" t="s">
        <v>45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 t="s">
        <v>0</v>
      </c>
      <c r="AD215" s="2">
        <v>1</v>
      </c>
      <c r="AE215" s="2" t="s">
        <v>46</v>
      </c>
    </row>
    <row r="216" spans="1:31" ht="51" x14ac:dyDescent="0.2">
      <c r="A216" s="5" t="str">
        <f>HYPERLINK("http://www.patentics.cn/invokexml.do?sf=ShowPatent&amp;spn=CN2926935&amp;sv=2f8218b2fbb6cf725191d848de1757e1","CN2926935")</f>
        <v>CN2926935</v>
      </c>
      <c r="B216" s="3" t="s">
        <v>1254</v>
      </c>
      <c r="C216" s="3" t="s">
        <v>1255</v>
      </c>
      <c r="D216" s="3" t="s">
        <v>49</v>
      </c>
      <c r="E216" s="3" t="s">
        <v>50</v>
      </c>
      <c r="F216" s="3" t="s">
        <v>1256</v>
      </c>
      <c r="G216" s="3" t="s">
        <v>1257</v>
      </c>
      <c r="H216" s="3" t="s">
        <v>0</v>
      </c>
      <c r="I216" s="3" t="s">
        <v>1258</v>
      </c>
      <c r="J216" s="3" t="s">
        <v>1259</v>
      </c>
      <c r="K216" s="3" t="s">
        <v>347</v>
      </c>
      <c r="L216" s="3" t="s">
        <v>482</v>
      </c>
      <c r="M216" s="3">
        <v>3</v>
      </c>
      <c r="N216" s="3">
        <v>28</v>
      </c>
      <c r="O216" s="3" t="s">
        <v>55</v>
      </c>
      <c r="P216" s="3" t="s">
        <v>44</v>
      </c>
      <c r="Q216" s="3">
        <v>0</v>
      </c>
      <c r="R216" s="3">
        <v>0</v>
      </c>
      <c r="S216" s="3">
        <v>0</v>
      </c>
      <c r="T216" s="3">
        <v>0</v>
      </c>
      <c r="U216" s="3">
        <v>1</v>
      </c>
      <c r="V216" s="3" t="s">
        <v>284</v>
      </c>
      <c r="W216" s="3">
        <v>0</v>
      </c>
      <c r="X216" s="3">
        <v>1</v>
      </c>
      <c r="Y216" s="3">
        <v>1</v>
      </c>
      <c r="Z216" s="3">
        <v>1</v>
      </c>
      <c r="AA216" s="3">
        <v>0</v>
      </c>
      <c r="AB216" s="3">
        <v>0</v>
      </c>
      <c r="AC216" s="3">
        <v>12</v>
      </c>
      <c r="AD216" s="3" t="s">
        <v>0</v>
      </c>
      <c r="AE216" s="3" t="s">
        <v>57</v>
      </c>
    </row>
    <row r="217" spans="1:31" ht="25.5" x14ac:dyDescent="0.2">
      <c r="A217" s="4" t="str">
        <f>HYPERLINK("http://www.patentics.cn/invokexml.do?sf=ShowPatent&amp;spn=CN102506523B&amp;sv=577ac65cf50b0f7edb54b6c1f5565ef2","CN102506523B")</f>
        <v>CN102506523B</v>
      </c>
      <c r="B217" s="2" t="s">
        <v>1260</v>
      </c>
      <c r="C217" s="2" t="s">
        <v>1261</v>
      </c>
      <c r="D217" s="2" t="s">
        <v>35</v>
      </c>
      <c r="E217" s="2" t="s">
        <v>36</v>
      </c>
      <c r="F217" s="2" t="s">
        <v>1010</v>
      </c>
      <c r="G217" s="2" t="s">
        <v>531</v>
      </c>
      <c r="H217" s="2" t="s">
        <v>0</v>
      </c>
      <c r="I217" s="2" t="s">
        <v>903</v>
      </c>
      <c r="J217" s="2" t="s">
        <v>184</v>
      </c>
      <c r="K217" s="2" t="s">
        <v>347</v>
      </c>
      <c r="L217" s="2" t="s">
        <v>1011</v>
      </c>
      <c r="M217" s="2">
        <v>5</v>
      </c>
      <c r="N217" s="2">
        <v>21</v>
      </c>
      <c r="O217" s="2" t="s">
        <v>43</v>
      </c>
      <c r="P217" s="2" t="s">
        <v>44</v>
      </c>
      <c r="Q217" s="2">
        <v>6</v>
      </c>
      <c r="R217" s="2">
        <v>0</v>
      </c>
      <c r="S217" s="2">
        <v>6</v>
      </c>
      <c r="T217" s="2">
        <v>5</v>
      </c>
      <c r="U217" s="2">
        <v>0</v>
      </c>
      <c r="V217" s="2" t="s">
        <v>45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 t="s">
        <v>0</v>
      </c>
      <c r="AD217" s="2">
        <v>1</v>
      </c>
      <c r="AE217" s="2" t="s">
        <v>46</v>
      </c>
    </row>
    <row r="218" spans="1:31" ht="25.5" x14ac:dyDescent="0.2">
      <c r="A218" s="5" t="str">
        <f>HYPERLINK("http://www.patentics.cn/invokexml.do?sf=ShowPatent&amp;spn=CN201876184&amp;sv=218832072ef095f19b1721b94350c7ea","CN201876184")</f>
        <v>CN201876184</v>
      </c>
      <c r="B218" s="3" t="s">
        <v>1012</v>
      </c>
      <c r="C218" s="3" t="s">
        <v>1013</v>
      </c>
      <c r="D218" s="3" t="s">
        <v>49</v>
      </c>
      <c r="E218" s="3" t="s">
        <v>50</v>
      </c>
      <c r="F218" s="3" t="s">
        <v>1014</v>
      </c>
      <c r="G218" s="3" t="s">
        <v>1015</v>
      </c>
      <c r="H218" s="3" t="s">
        <v>0</v>
      </c>
      <c r="I218" s="3" t="s">
        <v>90</v>
      </c>
      <c r="J218" s="3" t="s">
        <v>1016</v>
      </c>
      <c r="K218" s="3" t="s">
        <v>1017</v>
      </c>
      <c r="L218" s="3" t="s">
        <v>1018</v>
      </c>
      <c r="M218" s="3">
        <v>10</v>
      </c>
      <c r="N218" s="3">
        <v>8</v>
      </c>
      <c r="O218" s="3" t="s">
        <v>55</v>
      </c>
      <c r="P218" s="3" t="s">
        <v>44</v>
      </c>
      <c r="Q218" s="3">
        <v>0</v>
      </c>
      <c r="R218" s="3">
        <v>0</v>
      </c>
      <c r="S218" s="3">
        <v>0</v>
      </c>
      <c r="T218" s="3">
        <v>0</v>
      </c>
      <c r="U218" s="3">
        <v>10</v>
      </c>
      <c r="V218" s="3" t="s">
        <v>1019</v>
      </c>
      <c r="W218" s="3">
        <v>0</v>
      </c>
      <c r="X218" s="3">
        <v>10</v>
      </c>
      <c r="Y218" s="3">
        <v>3</v>
      </c>
      <c r="Z218" s="3">
        <v>1</v>
      </c>
      <c r="AA218" s="3">
        <v>0</v>
      </c>
      <c r="AB218" s="3">
        <v>0</v>
      </c>
      <c r="AC218" s="3">
        <v>12</v>
      </c>
      <c r="AD218" s="3" t="s">
        <v>0</v>
      </c>
      <c r="AE218" s="3" t="s">
        <v>46</v>
      </c>
    </row>
    <row r="219" spans="1:31" ht="38.25" x14ac:dyDescent="0.2">
      <c r="A219" s="4" t="str">
        <f>HYPERLINK("http://www.patentics.cn/invokexml.do?sf=ShowPatent&amp;spn=CN103363649B&amp;sv=9f56a51179e223918ee66f9d54ebcc4c","CN103363649B")</f>
        <v>CN103363649B</v>
      </c>
      <c r="B219" s="2" t="s">
        <v>1262</v>
      </c>
      <c r="C219" s="2" t="s">
        <v>1263</v>
      </c>
      <c r="D219" s="2" t="s">
        <v>1264</v>
      </c>
      <c r="E219" s="2" t="s">
        <v>36</v>
      </c>
      <c r="F219" s="2" t="s">
        <v>1265</v>
      </c>
      <c r="G219" s="2" t="s">
        <v>1266</v>
      </c>
      <c r="H219" s="2" t="s">
        <v>0</v>
      </c>
      <c r="I219" s="2" t="s">
        <v>273</v>
      </c>
      <c r="J219" s="2" t="s">
        <v>1267</v>
      </c>
      <c r="K219" s="2" t="s">
        <v>41</v>
      </c>
      <c r="L219" s="2" t="s">
        <v>1268</v>
      </c>
      <c r="M219" s="2">
        <v>9</v>
      </c>
      <c r="N219" s="2">
        <v>17</v>
      </c>
      <c r="O219" s="2" t="s">
        <v>43</v>
      </c>
      <c r="P219" s="2" t="s">
        <v>44</v>
      </c>
      <c r="Q219" s="2">
        <v>5</v>
      </c>
      <c r="R219" s="2">
        <v>2</v>
      </c>
      <c r="S219" s="2">
        <v>3</v>
      </c>
      <c r="T219" s="2">
        <v>4</v>
      </c>
      <c r="U219" s="2">
        <v>0</v>
      </c>
      <c r="V219" s="2" t="s">
        <v>45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 t="s">
        <v>0</v>
      </c>
      <c r="AD219" s="2">
        <v>1</v>
      </c>
      <c r="AE219" s="2" t="s">
        <v>46</v>
      </c>
    </row>
    <row r="220" spans="1:31" ht="38.25" x14ac:dyDescent="0.2">
      <c r="A220" s="5" t="str">
        <f>HYPERLINK("http://www.patentics.cn/invokexml.do?sf=ShowPatent&amp;spn=CN202561989&amp;sv=faed4e3a069f6d5b2466022599ebce25","CN202561989")</f>
        <v>CN202561989</v>
      </c>
      <c r="B220" s="3" t="s">
        <v>1269</v>
      </c>
      <c r="C220" s="3" t="s">
        <v>1270</v>
      </c>
      <c r="D220" s="3" t="s">
        <v>49</v>
      </c>
      <c r="E220" s="3" t="s">
        <v>50</v>
      </c>
      <c r="F220" s="3" t="s">
        <v>1271</v>
      </c>
      <c r="G220" s="3" t="s">
        <v>668</v>
      </c>
      <c r="H220" s="3" t="s">
        <v>0</v>
      </c>
      <c r="I220" s="3" t="s">
        <v>1272</v>
      </c>
      <c r="J220" s="3" t="s">
        <v>1273</v>
      </c>
      <c r="K220" s="3" t="s">
        <v>41</v>
      </c>
      <c r="L220" s="3" t="s">
        <v>1268</v>
      </c>
      <c r="M220" s="3">
        <v>9</v>
      </c>
      <c r="N220" s="3">
        <v>3</v>
      </c>
      <c r="O220" s="3" t="s">
        <v>55</v>
      </c>
      <c r="P220" s="3" t="s">
        <v>44</v>
      </c>
      <c r="Q220" s="3">
        <v>0</v>
      </c>
      <c r="R220" s="3">
        <v>0</v>
      </c>
      <c r="S220" s="3">
        <v>0</v>
      </c>
      <c r="T220" s="3">
        <v>0</v>
      </c>
      <c r="U220" s="3">
        <v>1</v>
      </c>
      <c r="V220" s="3" t="s">
        <v>224</v>
      </c>
      <c r="W220" s="3">
        <v>0</v>
      </c>
      <c r="X220" s="3">
        <v>1</v>
      </c>
      <c r="Y220" s="3">
        <v>1</v>
      </c>
      <c r="Z220" s="3">
        <v>1</v>
      </c>
      <c r="AA220" s="3">
        <v>0</v>
      </c>
      <c r="AB220" s="3">
        <v>0</v>
      </c>
      <c r="AC220" s="3">
        <v>12</v>
      </c>
      <c r="AD220" s="3" t="s">
        <v>0</v>
      </c>
      <c r="AE220" s="3" t="s">
        <v>46</v>
      </c>
    </row>
    <row r="221" spans="1:31" ht="25.5" x14ac:dyDescent="0.2">
      <c r="A221" s="4" t="str">
        <f>HYPERLINK("http://www.patentics.cn/invokexml.do?sf=ShowPatent&amp;spn=CN103292437B&amp;sv=e5351c5ee5f2a5c4bd780e629bd96e18","CN103292437B")</f>
        <v>CN103292437B</v>
      </c>
      <c r="B221" s="2" t="s">
        <v>1274</v>
      </c>
      <c r="C221" s="2" t="s">
        <v>1275</v>
      </c>
      <c r="D221" s="2" t="s">
        <v>35</v>
      </c>
      <c r="E221" s="2" t="s">
        <v>36</v>
      </c>
      <c r="F221" s="2" t="s">
        <v>1276</v>
      </c>
      <c r="G221" s="2" t="s">
        <v>1277</v>
      </c>
      <c r="H221" s="2" t="s">
        <v>0</v>
      </c>
      <c r="I221" s="2" t="s">
        <v>1278</v>
      </c>
      <c r="J221" s="2" t="s">
        <v>417</v>
      </c>
      <c r="K221" s="2" t="s">
        <v>41</v>
      </c>
      <c r="L221" s="2" t="s">
        <v>91</v>
      </c>
      <c r="M221" s="2">
        <v>9</v>
      </c>
      <c r="N221" s="2">
        <v>24</v>
      </c>
      <c r="O221" s="2" t="s">
        <v>43</v>
      </c>
      <c r="P221" s="2" t="s">
        <v>44</v>
      </c>
      <c r="Q221" s="2">
        <v>4</v>
      </c>
      <c r="R221" s="2">
        <v>1</v>
      </c>
      <c r="S221" s="2">
        <v>3</v>
      </c>
      <c r="T221" s="2">
        <v>4</v>
      </c>
      <c r="U221" s="2">
        <v>0</v>
      </c>
      <c r="V221" s="2" t="s">
        <v>45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 t="s">
        <v>0</v>
      </c>
      <c r="AD221" s="2">
        <v>1</v>
      </c>
      <c r="AE221" s="2" t="s">
        <v>46</v>
      </c>
    </row>
    <row r="222" spans="1:31" ht="63.75" x14ac:dyDescent="0.2">
      <c r="A222" s="5" t="str">
        <f>HYPERLINK("http://www.patentics.cn/invokexml.do?sf=ShowPatent&amp;spn=CN201129826&amp;sv=01dba462662c5edd9cdd0107ae10eb55","CN201129826")</f>
        <v>CN201129826</v>
      </c>
      <c r="B222" s="3" t="s">
        <v>1279</v>
      </c>
      <c r="C222" s="3" t="s">
        <v>1280</v>
      </c>
      <c r="D222" s="3" t="s">
        <v>49</v>
      </c>
      <c r="E222" s="3" t="s">
        <v>50</v>
      </c>
      <c r="F222" s="3" t="s">
        <v>1281</v>
      </c>
      <c r="G222" s="3" t="s">
        <v>253</v>
      </c>
      <c r="H222" s="3" t="s">
        <v>0</v>
      </c>
      <c r="I222" s="3" t="s">
        <v>1282</v>
      </c>
      <c r="J222" s="3" t="s">
        <v>1283</v>
      </c>
      <c r="K222" s="3" t="s">
        <v>41</v>
      </c>
      <c r="L222" s="3" t="s">
        <v>91</v>
      </c>
      <c r="M222" s="3">
        <v>7</v>
      </c>
      <c r="N222" s="3">
        <v>17</v>
      </c>
      <c r="O222" s="3" t="s">
        <v>55</v>
      </c>
      <c r="P222" s="3" t="s">
        <v>44</v>
      </c>
      <c r="Q222" s="3">
        <v>0</v>
      </c>
      <c r="R222" s="3">
        <v>0</v>
      </c>
      <c r="S222" s="3">
        <v>0</v>
      </c>
      <c r="T222" s="3">
        <v>0</v>
      </c>
      <c r="U222" s="3">
        <v>8</v>
      </c>
      <c r="V222" s="3" t="s">
        <v>1284</v>
      </c>
      <c r="W222" s="3">
        <v>1</v>
      </c>
      <c r="X222" s="3">
        <v>7</v>
      </c>
      <c r="Y222" s="3">
        <v>7</v>
      </c>
      <c r="Z222" s="3">
        <v>2</v>
      </c>
      <c r="AA222" s="3">
        <v>0</v>
      </c>
      <c r="AB222" s="3">
        <v>0</v>
      </c>
      <c r="AC222" s="3">
        <v>12</v>
      </c>
      <c r="AD222" s="3" t="s">
        <v>0</v>
      </c>
      <c r="AE222" s="3" t="s">
        <v>46</v>
      </c>
    </row>
    <row r="223" spans="1:31" ht="38.25" x14ac:dyDescent="0.2">
      <c r="A223" s="4" t="str">
        <f>HYPERLINK("http://www.patentics.cn/invokexml.do?sf=ShowPatent&amp;spn=CN103307725B&amp;sv=c7fc45bcc9889d9e6c04a8be5c1ede84","CN103307725B")</f>
        <v>CN103307725B</v>
      </c>
      <c r="B223" s="2" t="s">
        <v>1285</v>
      </c>
      <c r="C223" s="2" t="s">
        <v>1286</v>
      </c>
      <c r="D223" s="2" t="s">
        <v>925</v>
      </c>
      <c r="E223" s="2" t="s">
        <v>624</v>
      </c>
      <c r="F223" s="2" t="s">
        <v>1287</v>
      </c>
      <c r="G223" s="2" t="s">
        <v>713</v>
      </c>
      <c r="H223" s="2" t="s">
        <v>0</v>
      </c>
      <c r="I223" s="2" t="s">
        <v>1288</v>
      </c>
      <c r="J223" s="2" t="s">
        <v>417</v>
      </c>
      <c r="K223" s="2" t="s">
        <v>41</v>
      </c>
      <c r="L223" s="2" t="s">
        <v>69</v>
      </c>
      <c r="M223" s="2">
        <v>11</v>
      </c>
      <c r="N223" s="2">
        <v>11</v>
      </c>
      <c r="O223" s="2" t="s">
        <v>43</v>
      </c>
      <c r="P223" s="2" t="s">
        <v>44</v>
      </c>
      <c r="Q223" s="2">
        <v>3</v>
      </c>
      <c r="R223" s="2">
        <v>2</v>
      </c>
      <c r="S223" s="2">
        <v>1</v>
      </c>
      <c r="T223" s="2">
        <v>2</v>
      </c>
      <c r="U223" s="2">
        <v>0</v>
      </c>
      <c r="V223" s="2" t="s">
        <v>45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 t="s">
        <v>0</v>
      </c>
      <c r="AD223" s="2">
        <v>1</v>
      </c>
      <c r="AE223" s="2" t="s">
        <v>46</v>
      </c>
    </row>
    <row r="224" spans="1:31" ht="51" x14ac:dyDescent="0.2">
      <c r="A224" s="5" t="str">
        <f>HYPERLINK("http://www.patentics.cn/invokexml.do?sf=ShowPatent&amp;spn=CN201191041&amp;sv=a946ad2a066391c643e6e09626c471ed","CN201191041")</f>
        <v>CN201191041</v>
      </c>
      <c r="B224" s="3" t="s">
        <v>1289</v>
      </c>
      <c r="C224" s="3" t="s">
        <v>462</v>
      </c>
      <c r="D224" s="3" t="s">
        <v>49</v>
      </c>
      <c r="E224" s="3" t="s">
        <v>50</v>
      </c>
      <c r="F224" s="3" t="s">
        <v>1290</v>
      </c>
      <c r="G224" s="3" t="s">
        <v>88</v>
      </c>
      <c r="H224" s="3" t="s">
        <v>0</v>
      </c>
      <c r="I224" s="3" t="s">
        <v>1291</v>
      </c>
      <c r="J224" s="3" t="s">
        <v>1292</v>
      </c>
      <c r="K224" s="3" t="s">
        <v>41</v>
      </c>
      <c r="L224" s="3" t="s">
        <v>42</v>
      </c>
      <c r="M224" s="3">
        <v>5</v>
      </c>
      <c r="N224" s="3">
        <v>16</v>
      </c>
      <c r="O224" s="3" t="s">
        <v>55</v>
      </c>
      <c r="P224" s="3" t="s">
        <v>44</v>
      </c>
      <c r="Q224" s="3">
        <v>1</v>
      </c>
      <c r="R224" s="3">
        <v>0</v>
      </c>
      <c r="S224" s="3">
        <v>1</v>
      </c>
      <c r="T224" s="3">
        <v>1</v>
      </c>
      <c r="U224" s="3">
        <v>2</v>
      </c>
      <c r="V224" s="3" t="s">
        <v>141</v>
      </c>
      <c r="W224" s="3">
        <v>0</v>
      </c>
      <c r="X224" s="3">
        <v>2</v>
      </c>
      <c r="Y224" s="3">
        <v>1</v>
      </c>
      <c r="Z224" s="3">
        <v>1</v>
      </c>
      <c r="AA224" s="3">
        <v>0</v>
      </c>
      <c r="AB224" s="3">
        <v>0</v>
      </c>
      <c r="AC224" s="3">
        <v>12</v>
      </c>
      <c r="AD224" s="3" t="s">
        <v>0</v>
      </c>
      <c r="AE224" s="3" t="s">
        <v>46</v>
      </c>
    </row>
    <row r="225" spans="1:31" ht="25.5" x14ac:dyDescent="0.2">
      <c r="A225" s="4" t="str">
        <f>HYPERLINK("http://www.patentics.cn/invokexml.do?sf=ShowPatent&amp;spn=CN103967794B&amp;sv=add151a0df697456aee4929a623b4ec2","CN103967794B")</f>
        <v>CN103967794B</v>
      </c>
      <c r="B225" s="2" t="s">
        <v>1293</v>
      </c>
      <c r="C225" s="2" t="s">
        <v>1294</v>
      </c>
      <c r="D225" s="2" t="s">
        <v>35</v>
      </c>
      <c r="E225" s="2" t="s">
        <v>36</v>
      </c>
      <c r="F225" s="2" t="s">
        <v>1295</v>
      </c>
      <c r="G225" s="2" t="s">
        <v>1296</v>
      </c>
      <c r="H225" s="2" t="s">
        <v>0</v>
      </c>
      <c r="I225" s="2" t="s">
        <v>1297</v>
      </c>
      <c r="J225" s="2" t="s">
        <v>417</v>
      </c>
      <c r="K225" s="2" t="s">
        <v>185</v>
      </c>
      <c r="L225" s="2" t="s">
        <v>1298</v>
      </c>
      <c r="M225" s="2">
        <v>7</v>
      </c>
      <c r="N225" s="2">
        <v>25</v>
      </c>
      <c r="O225" s="2" t="s">
        <v>43</v>
      </c>
      <c r="P225" s="2" t="s">
        <v>44</v>
      </c>
      <c r="Q225" s="2">
        <v>6</v>
      </c>
      <c r="R225" s="2">
        <v>0</v>
      </c>
      <c r="S225" s="2">
        <v>6</v>
      </c>
      <c r="T225" s="2">
        <v>5</v>
      </c>
      <c r="U225" s="2">
        <v>0</v>
      </c>
      <c r="V225" s="2" t="s">
        <v>45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 t="s">
        <v>0</v>
      </c>
      <c r="AD225" s="2">
        <v>1</v>
      </c>
      <c r="AE225" s="2" t="s">
        <v>46</v>
      </c>
    </row>
    <row r="226" spans="1:31" ht="51" x14ac:dyDescent="0.2">
      <c r="A226" s="5" t="str">
        <f>HYPERLINK("http://www.patentics.cn/invokexml.do?sf=ShowPatent&amp;spn=CN101776079&amp;sv=1cdb976f395d1a11f165899a62766bac","CN101776079")</f>
        <v>CN101776079</v>
      </c>
      <c r="B226" s="3" t="s">
        <v>1299</v>
      </c>
      <c r="C226" s="3" t="s">
        <v>1300</v>
      </c>
      <c r="D226" s="3" t="s">
        <v>49</v>
      </c>
      <c r="E226" s="3" t="s">
        <v>50</v>
      </c>
      <c r="F226" s="3" t="s">
        <v>1301</v>
      </c>
      <c r="G226" s="3" t="s">
        <v>88</v>
      </c>
      <c r="H226" s="3" t="s">
        <v>1302</v>
      </c>
      <c r="I226" s="3" t="s">
        <v>1302</v>
      </c>
      <c r="J226" s="3" t="s">
        <v>1303</v>
      </c>
      <c r="K226" s="3" t="s">
        <v>185</v>
      </c>
      <c r="L226" s="3" t="s">
        <v>1298</v>
      </c>
      <c r="M226" s="3">
        <v>3</v>
      </c>
      <c r="N226" s="3">
        <v>23</v>
      </c>
      <c r="O226" s="3" t="s">
        <v>75</v>
      </c>
      <c r="P226" s="3" t="s">
        <v>44</v>
      </c>
      <c r="Q226" s="3">
        <v>0</v>
      </c>
      <c r="R226" s="3">
        <v>0</v>
      </c>
      <c r="S226" s="3">
        <v>0</v>
      </c>
      <c r="T226" s="3">
        <v>0</v>
      </c>
      <c r="U226" s="3">
        <v>2</v>
      </c>
      <c r="V226" s="3" t="s">
        <v>398</v>
      </c>
      <c r="W226" s="3">
        <v>0</v>
      </c>
      <c r="X226" s="3">
        <v>2</v>
      </c>
      <c r="Y226" s="3">
        <v>2</v>
      </c>
      <c r="Z226" s="3">
        <v>1</v>
      </c>
      <c r="AA226" s="3">
        <v>1</v>
      </c>
      <c r="AB226" s="3">
        <v>1</v>
      </c>
      <c r="AC226" s="3">
        <v>12</v>
      </c>
      <c r="AD226" s="3" t="s">
        <v>0</v>
      </c>
      <c r="AE226" s="3" t="s">
        <v>46</v>
      </c>
    </row>
    <row r="227" spans="1:31" ht="63.75" x14ac:dyDescent="0.2">
      <c r="A227" s="4" t="str">
        <f>HYPERLINK("http://www.patentics.cn/invokexml.do?sf=ShowPatent&amp;spn=CN102777402B&amp;sv=1153bd4ce0adbc1a01f0a12c52a24391","CN102777402B")</f>
        <v>CN102777402B</v>
      </c>
      <c r="B227" s="2" t="s">
        <v>1304</v>
      </c>
      <c r="C227" s="2" t="s">
        <v>1305</v>
      </c>
      <c r="D227" s="2" t="s">
        <v>79</v>
      </c>
      <c r="E227" s="2" t="s">
        <v>36</v>
      </c>
      <c r="F227" s="2" t="s">
        <v>1306</v>
      </c>
      <c r="G227" s="2" t="s">
        <v>1307</v>
      </c>
      <c r="H227" s="2" t="s">
        <v>0</v>
      </c>
      <c r="I227" s="2" t="s">
        <v>1308</v>
      </c>
      <c r="J227" s="2" t="s">
        <v>417</v>
      </c>
      <c r="K227" s="2" t="s">
        <v>41</v>
      </c>
      <c r="L227" s="2" t="s">
        <v>42</v>
      </c>
      <c r="M227" s="2">
        <v>7</v>
      </c>
      <c r="N227" s="2">
        <v>26</v>
      </c>
      <c r="O227" s="2" t="s">
        <v>43</v>
      </c>
      <c r="P227" s="2" t="s">
        <v>44</v>
      </c>
      <c r="Q227" s="2">
        <v>7</v>
      </c>
      <c r="R227" s="2">
        <v>1</v>
      </c>
      <c r="S227" s="2">
        <v>6</v>
      </c>
      <c r="T227" s="2">
        <v>6</v>
      </c>
      <c r="U227" s="2">
        <v>0</v>
      </c>
      <c r="V227" s="2" t="s">
        <v>45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 t="s">
        <v>0</v>
      </c>
      <c r="AD227" s="2">
        <v>1</v>
      </c>
      <c r="AE227" s="2" t="s">
        <v>46</v>
      </c>
    </row>
    <row r="228" spans="1:31" ht="25.5" x14ac:dyDescent="0.2">
      <c r="A228" s="5" t="str">
        <f>HYPERLINK("http://www.patentics.cn/invokexml.do?sf=ShowPatent&amp;spn=CN2893513&amp;sv=077f30b0a2efe4fdf3b9b7295c9a4a4b","CN2893513")</f>
        <v>CN2893513</v>
      </c>
      <c r="B228" s="3" t="s">
        <v>1309</v>
      </c>
      <c r="C228" s="3" t="s">
        <v>1310</v>
      </c>
      <c r="D228" s="3" t="s">
        <v>49</v>
      </c>
      <c r="E228" s="3" t="s">
        <v>50</v>
      </c>
      <c r="F228" s="3" t="s">
        <v>1311</v>
      </c>
      <c r="G228" s="3" t="s">
        <v>1312</v>
      </c>
      <c r="H228" s="3" t="s">
        <v>0</v>
      </c>
      <c r="I228" s="3" t="s">
        <v>1313</v>
      </c>
      <c r="J228" s="3" t="s">
        <v>1314</v>
      </c>
      <c r="K228" s="3" t="s">
        <v>41</v>
      </c>
      <c r="L228" s="3" t="s">
        <v>1315</v>
      </c>
      <c r="M228" s="3">
        <v>8</v>
      </c>
      <c r="N228" s="3">
        <v>15</v>
      </c>
      <c r="O228" s="3" t="s">
        <v>55</v>
      </c>
      <c r="P228" s="3" t="s">
        <v>44</v>
      </c>
      <c r="Q228" s="3">
        <v>0</v>
      </c>
      <c r="R228" s="3">
        <v>0</v>
      </c>
      <c r="S228" s="3">
        <v>0</v>
      </c>
      <c r="T228" s="3">
        <v>0</v>
      </c>
      <c r="U228" s="3">
        <v>3</v>
      </c>
      <c r="V228" s="3" t="s">
        <v>1316</v>
      </c>
      <c r="W228" s="3">
        <v>0</v>
      </c>
      <c r="X228" s="3">
        <v>3</v>
      </c>
      <c r="Y228" s="3">
        <v>2</v>
      </c>
      <c r="Z228" s="3">
        <v>2</v>
      </c>
      <c r="AA228" s="3">
        <v>0</v>
      </c>
      <c r="AB228" s="3">
        <v>0</v>
      </c>
      <c r="AC228" s="3">
        <v>12</v>
      </c>
      <c r="AD228" s="3" t="s">
        <v>0</v>
      </c>
      <c r="AE228" s="3" t="s">
        <v>57</v>
      </c>
    </row>
    <row r="229" spans="1:31" ht="38.25" x14ac:dyDescent="0.2">
      <c r="A229" s="4" t="str">
        <f>HYPERLINK("http://www.patentics.cn/invokexml.do?sf=ShowPatent&amp;spn=CN103452844B&amp;sv=a3c718661bbf3d52a19db2d516a56d28","CN103452844B")</f>
        <v>CN103452844B</v>
      </c>
      <c r="B229" s="2" t="s">
        <v>1317</v>
      </c>
      <c r="C229" s="2" t="s">
        <v>511</v>
      </c>
      <c r="D229" s="2" t="s">
        <v>180</v>
      </c>
      <c r="E229" s="2" t="s">
        <v>36</v>
      </c>
      <c r="F229" s="2" t="s">
        <v>1318</v>
      </c>
      <c r="G229" s="2" t="s">
        <v>513</v>
      </c>
      <c r="H229" s="2" t="s">
        <v>0</v>
      </c>
      <c r="I229" s="2" t="s">
        <v>1319</v>
      </c>
      <c r="J229" s="2" t="s">
        <v>417</v>
      </c>
      <c r="K229" s="2" t="s">
        <v>185</v>
      </c>
      <c r="L229" s="2" t="s">
        <v>1069</v>
      </c>
      <c r="M229" s="2">
        <v>8</v>
      </c>
      <c r="N229" s="2">
        <v>35</v>
      </c>
      <c r="O229" s="2" t="s">
        <v>43</v>
      </c>
      <c r="P229" s="2" t="s">
        <v>44</v>
      </c>
      <c r="Q229" s="2">
        <v>3</v>
      </c>
      <c r="R229" s="2">
        <v>1</v>
      </c>
      <c r="S229" s="2">
        <v>2</v>
      </c>
      <c r="T229" s="2">
        <v>3</v>
      </c>
      <c r="U229" s="2">
        <v>0</v>
      </c>
      <c r="V229" s="2" t="s">
        <v>45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 t="s">
        <v>0</v>
      </c>
      <c r="AD229" s="2">
        <v>1</v>
      </c>
      <c r="AE229" s="2" t="s">
        <v>46</v>
      </c>
    </row>
    <row r="230" spans="1:31" ht="25.5" x14ac:dyDescent="0.2">
      <c r="A230" s="5" t="str">
        <f>HYPERLINK("http://www.patentics.cn/invokexml.do?sf=ShowPatent&amp;spn=CN201714667&amp;sv=121c9932c9fe74e43f7daa9b58e56878","CN201714667")</f>
        <v>CN201714667</v>
      </c>
      <c r="B230" s="3" t="s">
        <v>1320</v>
      </c>
      <c r="C230" s="3" t="s">
        <v>1321</v>
      </c>
      <c r="D230" s="3" t="s">
        <v>377</v>
      </c>
      <c r="E230" s="3" t="s">
        <v>50</v>
      </c>
      <c r="F230" s="3" t="s">
        <v>1192</v>
      </c>
      <c r="G230" s="3" t="s">
        <v>1192</v>
      </c>
      <c r="H230" s="3" t="s">
        <v>1322</v>
      </c>
      <c r="I230" s="3" t="s">
        <v>1322</v>
      </c>
      <c r="J230" s="3" t="s">
        <v>1323</v>
      </c>
      <c r="K230" s="3" t="s">
        <v>185</v>
      </c>
      <c r="L230" s="3" t="s">
        <v>1069</v>
      </c>
      <c r="M230" s="3">
        <v>9</v>
      </c>
      <c r="N230" s="3">
        <v>8</v>
      </c>
      <c r="O230" s="3" t="s">
        <v>55</v>
      </c>
      <c r="P230" s="3" t="s">
        <v>44</v>
      </c>
      <c r="Q230" s="3">
        <v>0</v>
      </c>
      <c r="R230" s="3">
        <v>0</v>
      </c>
      <c r="S230" s="3">
        <v>0</v>
      </c>
      <c r="T230" s="3">
        <v>0</v>
      </c>
      <c r="U230" s="3">
        <v>2</v>
      </c>
      <c r="V230" s="3" t="s">
        <v>1324</v>
      </c>
      <c r="W230" s="3">
        <v>1</v>
      </c>
      <c r="X230" s="3">
        <v>1</v>
      </c>
      <c r="Y230" s="3">
        <v>2</v>
      </c>
      <c r="Z230" s="3">
        <v>2</v>
      </c>
      <c r="AA230" s="3">
        <v>1</v>
      </c>
      <c r="AB230" s="3">
        <v>2</v>
      </c>
      <c r="AC230" s="3">
        <v>12</v>
      </c>
      <c r="AD230" s="3" t="s">
        <v>0</v>
      </c>
      <c r="AE230" s="3" t="s">
        <v>46</v>
      </c>
    </row>
    <row r="231" spans="1:31" x14ac:dyDescent="0.2">
      <c r="A231" s="4" t="str">
        <f>HYPERLINK("http://www.patentics.cn/invokexml.do?sf=ShowPatent&amp;spn=CN103383157B&amp;sv=35d760b1098d78a268549465faeec77f","CN103383157B")</f>
        <v>CN103383157B</v>
      </c>
      <c r="B231" s="2" t="s">
        <v>1325</v>
      </c>
      <c r="C231" s="2" t="s">
        <v>1326</v>
      </c>
      <c r="D231" s="2" t="s">
        <v>79</v>
      </c>
      <c r="E231" s="2" t="s">
        <v>36</v>
      </c>
      <c r="F231" s="2" t="s">
        <v>745</v>
      </c>
      <c r="G231" s="2" t="s">
        <v>745</v>
      </c>
      <c r="H231" s="2" t="s">
        <v>0</v>
      </c>
      <c r="I231" s="2" t="s">
        <v>960</v>
      </c>
      <c r="J231" s="2" t="s">
        <v>435</v>
      </c>
      <c r="K231" s="2" t="s">
        <v>347</v>
      </c>
      <c r="L231" s="2" t="s">
        <v>482</v>
      </c>
      <c r="M231" s="2">
        <v>10</v>
      </c>
      <c r="N231" s="2">
        <v>26</v>
      </c>
      <c r="O231" s="2" t="s">
        <v>43</v>
      </c>
      <c r="P231" s="2" t="s">
        <v>44</v>
      </c>
      <c r="Q231" s="2">
        <v>8</v>
      </c>
      <c r="R231" s="2">
        <v>4</v>
      </c>
      <c r="S231" s="2">
        <v>4</v>
      </c>
      <c r="T231" s="2">
        <v>3</v>
      </c>
      <c r="U231" s="2">
        <v>0</v>
      </c>
      <c r="V231" s="2" t="s">
        <v>45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 t="s">
        <v>0</v>
      </c>
      <c r="AD231" s="2">
        <v>1</v>
      </c>
      <c r="AE231" s="2" t="s">
        <v>46</v>
      </c>
    </row>
    <row r="232" spans="1:31" ht="51" x14ac:dyDescent="0.2">
      <c r="A232" s="5" t="str">
        <f>HYPERLINK("http://www.patentics.cn/invokexml.do?sf=ShowPatent&amp;spn=CN202546972&amp;sv=3342e0c10a6eeb48153642976c345ea7","CN202546972")</f>
        <v>CN202546972</v>
      </c>
      <c r="B232" s="3" t="s">
        <v>1327</v>
      </c>
      <c r="C232" s="3" t="s">
        <v>1328</v>
      </c>
      <c r="D232" s="3" t="s">
        <v>49</v>
      </c>
      <c r="E232" s="3" t="s">
        <v>50</v>
      </c>
      <c r="F232" s="3" t="s">
        <v>1329</v>
      </c>
      <c r="G232" s="3" t="s">
        <v>52</v>
      </c>
      <c r="H232" s="3" t="s">
        <v>0</v>
      </c>
      <c r="I232" s="3" t="s">
        <v>634</v>
      </c>
      <c r="J232" s="3" t="s">
        <v>1330</v>
      </c>
      <c r="K232" s="3" t="s">
        <v>41</v>
      </c>
      <c r="L232" s="3" t="s">
        <v>891</v>
      </c>
      <c r="M232" s="3">
        <v>13</v>
      </c>
      <c r="N232" s="3">
        <v>29</v>
      </c>
      <c r="O232" s="3" t="s">
        <v>55</v>
      </c>
      <c r="P232" s="3" t="s">
        <v>44</v>
      </c>
      <c r="Q232" s="3">
        <v>0</v>
      </c>
      <c r="R232" s="3">
        <v>0</v>
      </c>
      <c r="S232" s="3">
        <v>0</v>
      </c>
      <c r="T232" s="3">
        <v>0</v>
      </c>
      <c r="U232" s="3">
        <v>2</v>
      </c>
      <c r="V232" s="3" t="s">
        <v>374</v>
      </c>
      <c r="W232" s="3">
        <v>1</v>
      </c>
      <c r="X232" s="3">
        <v>1</v>
      </c>
      <c r="Y232" s="3">
        <v>2</v>
      </c>
      <c r="Z232" s="3">
        <v>1</v>
      </c>
      <c r="AA232" s="3">
        <v>0</v>
      </c>
      <c r="AB232" s="3">
        <v>0</v>
      </c>
      <c r="AC232" s="3">
        <v>12</v>
      </c>
      <c r="AD232" s="3" t="s">
        <v>0</v>
      </c>
      <c r="AE232" s="3" t="s">
        <v>57</v>
      </c>
    </row>
    <row r="233" spans="1:31" ht="25.5" x14ac:dyDescent="0.2">
      <c r="A233" s="4" t="str">
        <f>HYPERLINK("http://www.patentics.cn/invokexml.do?sf=ShowPatent&amp;spn=CN103267338B&amp;sv=9eaf1a418ad1a9678eccd6460e4b91cf","CN103267338B")</f>
        <v>CN103267338B</v>
      </c>
      <c r="B233" s="2" t="s">
        <v>1331</v>
      </c>
      <c r="C233" s="2" t="s">
        <v>1332</v>
      </c>
      <c r="D233" s="2" t="s">
        <v>35</v>
      </c>
      <c r="E233" s="2" t="s">
        <v>36</v>
      </c>
      <c r="F233" s="2" t="s">
        <v>1333</v>
      </c>
      <c r="G233" s="2" t="s">
        <v>1334</v>
      </c>
      <c r="H233" s="2" t="s">
        <v>0</v>
      </c>
      <c r="I233" s="2" t="s">
        <v>1206</v>
      </c>
      <c r="J233" s="2" t="s">
        <v>435</v>
      </c>
      <c r="K233" s="2" t="s">
        <v>41</v>
      </c>
      <c r="L233" s="2" t="s">
        <v>84</v>
      </c>
      <c r="M233" s="2">
        <v>7</v>
      </c>
      <c r="N233" s="2">
        <v>35</v>
      </c>
      <c r="O233" s="2" t="s">
        <v>43</v>
      </c>
      <c r="P233" s="2" t="s">
        <v>44</v>
      </c>
      <c r="Q233" s="2">
        <v>3</v>
      </c>
      <c r="R233" s="2">
        <v>0</v>
      </c>
      <c r="S233" s="2">
        <v>3</v>
      </c>
      <c r="T233" s="2">
        <v>3</v>
      </c>
      <c r="U233" s="2">
        <v>0</v>
      </c>
      <c r="V233" s="2" t="s">
        <v>45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 t="s">
        <v>0</v>
      </c>
      <c r="AD233" s="2">
        <v>1</v>
      </c>
      <c r="AE233" s="2" t="s">
        <v>46</v>
      </c>
    </row>
    <row r="234" spans="1:31" ht="25.5" x14ac:dyDescent="0.2">
      <c r="A234" s="5" t="str">
        <f>HYPERLINK("http://www.patentics.cn/invokexml.do?sf=ShowPatent&amp;spn=CN202503466&amp;sv=da2c0ba68f1b43622377556e43d110c9","CN202503466")</f>
        <v>CN202503466</v>
      </c>
      <c r="B234" s="3" t="s">
        <v>1335</v>
      </c>
      <c r="C234" s="3" t="s">
        <v>1336</v>
      </c>
      <c r="D234" s="3" t="s">
        <v>49</v>
      </c>
      <c r="E234" s="3" t="s">
        <v>50</v>
      </c>
      <c r="F234" s="3" t="s">
        <v>1337</v>
      </c>
      <c r="G234" s="3" t="s">
        <v>1338</v>
      </c>
      <c r="H234" s="3" t="s">
        <v>0</v>
      </c>
      <c r="I234" s="3" t="s">
        <v>1339</v>
      </c>
      <c r="J234" s="3" t="s">
        <v>1340</v>
      </c>
      <c r="K234" s="3" t="s">
        <v>1096</v>
      </c>
      <c r="L234" s="3" t="s">
        <v>1341</v>
      </c>
      <c r="M234" s="3">
        <v>8</v>
      </c>
      <c r="N234" s="3">
        <v>12</v>
      </c>
      <c r="O234" s="3" t="s">
        <v>55</v>
      </c>
      <c r="P234" s="3" t="s">
        <v>44</v>
      </c>
      <c r="Q234" s="3">
        <v>0</v>
      </c>
      <c r="R234" s="3">
        <v>0</v>
      </c>
      <c r="S234" s="3">
        <v>0</v>
      </c>
      <c r="T234" s="3">
        <v>0</v>
      </c>
      <c r="U234" s="3">
        <v>1</v>
      </c>
      <c r="V234" s="3" t="s">
        <v>256</v>
      </c>
      <c r="W234" s="3">
        <v>0</v>
      </c>
      <c r="X234" s="3">
        <v>1</v>
      </c>
      <c r="Y234" s="3">
        <v>1</v>
      </c>
      <c r="Z234" s="3">
        <v>1</v>
      </c>
      <c r="AA234" s="3">
        <v>0</v>
      </c>
      <c r="AB234" s="3">
        <v>0</v>
      </c>
      <c r="AC234" s="3">
        <v>12</v>
      </c>
      <c r="AD234" s="3" t="s">
        <v>0</v>
      </c>
      <c r="AE234" s="3" t="s">
        <v>46</v>
      </c>
    </row>
    <row r="235" spans="1:31" ht="25.5" x14ac:dyDescent="0.2">
      <c r="A235" s="4" t="str">
        <f>HYPERLINK("http://www.patentics.cn/invokexml.do?sf=ShowPatent&amp;spn=CN103047895B&amp;sv=da7f1664d3735d58ef5161d27be726cd","CN103047895B")</f>
        <v>CN103047895B</v>
      </c>
      <c r="B235" s="2" t="s">
        <v>1342</v>
      </c>
      <c r="C235" s="2" t="s">
        <v>1343</v>
      </c>
      <c r="D235" s="2" t="s">
        <v>35</v>
      </c>
      <c r="E235" s="2" t="s">
        <v>36</v>
      </c>
      <c r="F235" s="2" t="s">
        <v>1344</v>
      </c>
      <c r="G235" s="2" t="s">
        <v>713</v>
      </c>
      <c r="H235" s="2" t="s">
        <v>0</v>
      </c>
      <c r="I235" s="2" t="s">
        <v>1345</v>
      </c>
      <c r="J235" s="2" t="s">
        <v>435</v>
      </c>
      <c r="K235" s="2" t="s">
        <v>1017</v>
      </c>
      <c r="L235" s="2" t="s">
        <v>1018</v>
      </c>
      <c r="M235" s="2">
        <v>7</v>
      </c>
      <c r="N235" s="2">
        <v>15</v>
      </c>
      <c r="O235" s="2" t="s">
        <v>43</v>
      </c>
      <c r="P235" s="2" t="s">
        <v>44</v>
      </c>
      <c r="Q235" s="2">
        <v>3</v>
      </c>
      <c r="R235" s="2">
        <v>1</v>
      </c>
      <c r="S235" s="2">
        <v>2</v>
      </c>
      <c r="T235" s="2">
        <v>3</v>
      </c>
      <c r="U235" s="2">
        <v>0</v>
      </c>
      <c r="V235" s="2" t="s">
        <v>45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 t="s">
        <v>0</v>
      </c>
      <c r="AD235" s="2">
        <v>1</v>
      </c>
      <c r="AE235" s="2" t="s">
        <v>46</v>
      </c>
    </row>
    <row r="236" spans="1:31" ht="25.5" x14ac:dyDescent="0.2">
      <c r="A236" s="5" t="str">
        <f>HYPERLINK("http://www.patentics.cn/invokexml.do?sf=ShowPatent&amp;spn=CN102401604&amp;sv=4fb44f1d2dfa0b5a08f05a12b0395d56","CN102401604")</f>
        <v>CN102401604</v>
      </c>
      <c r="B236" s="3" t="s">
        <v>1346</v>
      </c>
      <c r="C236" s="3" t="s">
        <v>1347</v>
      </c>
      <c r="D236" s="3" t="s">
        <v>49</v>
      </c>
      <c r="E236" s="3" t="s">
        <v>50</v>
      </c>
      <c r="F236" s="3" t="s">
        <v>1348</v>
      </c>
      <c r="G236" s="3" t="s">
        <v>1015</v>
      </c>
      <c r="H236" s="3" t="s">
        <v>0</v>
      </c>
      <c r="I236" s="3" t="s">
        <v>1349</v>
      </c>
      <c r="J236" s="3" t="s">
        <v>995</v>
      </c>
      <c r="K236" s="3" t="s">
        <v>1017</v>
      </c>
      <c r="L236" s="3" t="s">
        <v>1350</v>
      </c>
      <c r="M236" s="3">
        <v>10</v>
      </c>
      <c r="N236" s="3">
        <v>10</v>
      </c>
      <c r="O236" s="3" t="s">
        <v>75</v>
      </c>
      <c r="P236" s="3" t="s">
        <v>44</v>
      </c>
      <c r="Q236" s="3">
        <v>0</v>
      </c>
      <c r="R236" s="3">
        <v>0</v>
      </c>
      <c r="S236" s="3">
        <v>0</v>
      </c>
      <c r="T236" s="3">
        <v>0</v>
      </c>
      <c r="U236" s="3">
        <v>1</v>
      </c>
      <c r="V236" s="3" t="s">
        <v>256</v>
      </c>
      <c r="W236" s="3">
        <v>0</v>
      </c>
      <c r="X236" s="3">
        <v>1</v>
      </c>
      <c r="Y236" s="3">
        <v>1</v>
      </c>
      <c r="Z236" s="3">
        <v>1</v>
      </c>
      <c r="AA236" s="3">
        <v>0</v>
      </c>
      <c r="AB236" s="3">
        <v>0</v>
      </c>
      <c r="AC236" s="3">
        <v>12</v>
      </c>
      <c r="AD236" s="3" t="s">
        <v>0</v>
      </c>
      <c r="AE236" s="3" t="s">
        <v>100</v>
      </c>
    </row>
    <row r="237" spans="1:31" ht="51" x14ac:dyDescent="0.2">
      <c r="A237" s="4" t="str">
        <f>HYPERLINK("http://www.patentics.cn/invokexml.do?sf=ShowPatent&amp;spn=CN103574873B&amp;sv=93ba7113bfabcfee4fc2921b56b2e882","CN103574873B")</f>
        <v>CN103574873B</v>
      </c>
      <c r="B237" s="2" t="s">
        <v>1351</v>
      </c>
      <c r="C237" s="2" t="s">
        <v>1352</v>
      </c>
      <c r="D237" s="2" t="s">
        <v>35</v>
      </c>
      <c r="E237" s="2" t="s">
        <v>36</v>
      </c>
      <c r="F237" s="2" t="s">
        <v>1353</v>
      </c>
      <c r="G237" s="2" t="s">
        <v>876</v>
      </c>
      <c r="H237" s="2" t="s">
        <v>0</v>
      </c>
      <c r="I237" s="2" t="s">
        <v>39</v>
      </c>
      <c r="J237" s="2" t="s">
        <v>435</v>
      </c>
      <c r="K237" s="2" t="s">
        <v>41</v>
      </c>
      <c r="L237" s="2" t="s">
        <v>69</v>
      </c>
      <c r="M237" s="2">
        <v>18</v>
      </c>
      <c r="N237" s="2">
        <v>23</v>
      </c>
      <c r="O237" s="2" t="s">
        <v>43</v>
      </c>
      <c r="P237" s="2" t="s">
        <v>44</v>
      </c>
      <c r="Q237" s="2">
        <v>5</v>
      </c>
      <c r="R237" s="2">
        <v>1</v>
      </c>
      <c r="S237" s="2">
        <v>4</v>
      </c>
      <c r="T237" s="2">
        <v>5</v>
      </c>
      <c r="U237" s="2">
        <v>0</v>
      </c>
      <c r="V237" s="2" t="s">
        <v>45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 t="s">
        <v>0</v>
      </c>
      <c r="AD237" s="2">
        <v>1</v>
      </c>
      <c r="AE237" s="2" t="s">
        <v>46</v>
      </c>
    </row>
    <row r="238" spans="1:31" ht="51" x14ac:dyDescent="0.2">
      <c r="A238" s="5" t="str">
        <f>HYPERLINK("http://www.patentics.cn/invokexml.do?sf=ShowPatent&amp;spn=CN102486336&amp;sv=b19eb391f832c84170cccfc8052d7f6e","CN102486336")</f>
        <v>CN102486336</v>
      </c>
      <c r="B238" s="3" t="s">
        <v>1354</v>
      </c>
      <c r="C238" s="3" t="s">
        <v>59</v>
      </c>
      <c r="D238" s="3" t="s">
        <v>49</v>
      </c>
      <c r="E238" s="3" t="s">
        <v>50</v>
      </c>
      <c r="F238" s="3" t="s">
        <v>1355</v>
      </c>
      <c r="G238" s="3" t="s">
        <v>52</v>
      </c>
      <c r="H238" s="3" t="s">
        <v>1356</v>
      </c>
      <c r="I238" s="3" t="s">
        <v>1356</v>
      </c>
      <c r="J238" s="3" t="s">
        <v>209</v>
      </c>
      <c r="K238" s="3" t="s">
        <v>41</v>
      </c>
      <c r="L238" s="3" t="s">
        <v>1357</v>
      </c>
      <c r="M238" s="3">
        <v>9</v>
      </c>
      <c r="N238" s="3">
        <v>9</v>
      </c>
      <c r="O238" s="3" t="s">
        <v>75</v>
      </c>
      <c r="P238" s="3" t="s">
        <v>44</v>
      </c>
      <c r="Q238" s="3">
        <v>0</v>
      </c>
      <c r="R238" s="3">
        <v>0</v>
      </c>
      <c r="S238" s="3">
        <v>0</v>
      </c>
      <c r="T238" s="3">
        <v>0</v>
      </c>
      <c r="U238" s="3">
        <v>1</v>
      </c>
      <c r="V238" s="3" t="s">
        <v>224</v>
      </c>
      <c r="W238" s="3">
        <v>0</v>
      </c>
      <c r="X238" s="3">
        <v>1</v>
      </c>
      <c r="Y238" s="3">
        <v>1</v>
      </c>
      <c r="Z238" s="3">
        <v>1</v>
      </c>
      <c r="AA238" s="3">
        <v>1</v>
      </c>
      <c r="AB238" s="3">
        <v>1</v>
      </c>
      <c r="AC238" s="3">
        <v>12</v>
      </c>
      <c r="AD238" s="3" t="s">
        <v>0</v>
      </c>
      <c r="AE238" s="3" t="s">
        <v>46</v>
      </c>
    </row>
    <row r="239" spans="1:31" ht="51" x14ac:dyDescent="0.2">
      <c r="A239" s="4" t="str">
        <f>HYPERLINK("http://www.patentics.cn/invokexml.do?sf=ShowPatent&amp;spn=CN103574765B&amp;sv=87f5ea520a992d6d6ff1925e5edec0fd","CN103574765B")</f>
        <v>CN103574765B</v>
      </c>
      <c r="B239" s="2" t="s">
        <v>1358</v>
      </c>
      <c r="C239" s="2" t="s">
        <v>1359</v>
      </c>
      <c r="D239" s="2" t="s">
        <v>79</v>
      </c>
      <c r="E239" s="2" t="s">
        <v>36</v>
      </c>
      <c r="F239" s="2" t="s">
        <v>1360</v>
      </c>
      <c r="G239" s="2" t="s">
        <v>1361</v>
      </c>
      <c r="H239" s="2" t="s">
        <v>0</v>
      </c>
      <c r="I239" s="2" t="s">
        <v>1362</v>
      </c>
      <c r="J239" s="2" t="s">
        <v>435</v>
      </c>
      <c r="K239" s="2" t="s">
        <v>41</v>
      </c>
      <c r="L239" s="2" t="s">
        <v>42</v>
      </c>
      <c r="M239" s="2">
        <v>7</v>
      </c>
      <c r="N239" s="2">
        <v>20</v>
      </c>
      <c r="O239" s="2" t="s">
        <v>43</v>
      </c>
      <c r="P239" s="2" t="s">
        <v>44</v>
      </c>
      <c r="Q239" s="2">
        <v>6</v>
      </c>
      <c r="R239" s="2">
        <v>1</v>
      </c>
      <c r="S239" s="2">
        <v>5</v>
      </c>
      <c r="T239" s="2">
        <v>5</v>
      </c>
      <c r="U239" s="2">
        <v>0</v>
      </c>
      <c r="V239" s="2" t="s">
        <v>45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 t="s">
        <v>0</v>
      </c>
      <c r="AD239" s="2">
        <v>1</v>
      </c>
      <c r="AE239" s="2" t="s">
        <v>46</v>
      </c>
    </row>
    <row r="240" spans="1:31" ht="51" x14ac:dyDescent="0.2">
      <c r="A240" s="5" t="str">
        <f>HYPERLINK("http://www.patentics.cn/invokexml.do?sf=ShowPatent&amp;spn=CN101033882&amp;sv=b7dc1de2045356a037bb8d754e746ba7","CN101033882")</f>
        <v>CN101033882</v>
      </c>
      <c r="B240" s="3" t="s">
        <v>573</v>
      </c>
      <c r="C240" s="3" t="s">
        <v>574</v>
      </c>
      <c r="D240" s="3" t="s">
        <v>49</v>
      </c>
      <c r="E240" s="3" t="s">
        <v>50</v>
      </c>
      <c r="F240" s="3" t="s">
        <v>575</v>
      </c>
      <c r="G240" s="3" t="s">
        <v>88</v>
      </c>
      <c r="H240" s="3" t="s">
        <v>576</v>
      </c>
      <c r="I240" s="3" t="s">
        <v>576</v>
      </c>
      <c r="J240" s="3" t="s">
        <v>577</v>
      </c>
      <c r="K240" s="3" t="s">
        <v>41</v>
      </c>
      <c r="L240" s="3" t="s">
        <v>84</v>
      </c>
      <c r="M240" s="3">
        <v>21</v>
      </c>
      <c r="N240" s="3">
        <v>9</v>
      </c>
      <c r="O240" s="3" t="s">
        <v>75</v>
      </c>
      <c r="P240" s="3" t="s">
        <v>44</v>
      </c>
      <c r="Q240" s="3">
        <v>0</v>
      </c>
      <c r="R240" s="3">
        <v>0</v>
      </c>
      <c r="S240" s="3">
        <v>0</v>
      </c>
      <c r="T240" s="3">
        <v>0</v>
      </c>
      <c r="U240" s="3">
        <v>16</v>
      </c>
      <c r="V240" s="3" t="s">
        <v>578</v>
      </c>
      <c r="W240" s="3">
        <v>7</v>
      </c>
      <c r="X240" s="3">
        <v>9</v>
      </c>
      <c r="Y240" s="3">
        <v>6</v>
      </c>
      <c r="Z240" s="3">
        <v>4</v>
      </c>
      <c r="AA240" s="3">
        <v>9</v>
      </c>
      <c r="AB240" s="3">
        <v>6</v>
      </c>
      <c r="AC240" s="3">
        <v>12</v>
      </c>
      <c r="AD240" s="3" t="s">
        <v>0</v>
      </c>
      <c r="AE240" s="3" t="s">
        <v>46</v>
      </c>
    </row>
    <row r="241" spans="1:31" ht="38.25" x14ac:dyDescent="0.2">
      <c r="A241" s="4" t="str">
        <f>HYPERLINK("http://www.patentics.cn/invokexml.do?sf=ShowPatent&amp;spn=CN103199639B&amp;sv=077853afb3724a2e045c4c967d387976","CN103199639B")</f>
        <v>CN103199639B</v>
      </c>
      <c r="B241" s="2" t="s">
        <v>1363</v>
      </c>
      <c r="C241" s="2" t="s">
        <v>1364</v>
      </c>
      <c r="D241" s="2" t="s">
        <v>1365</v>
      </c>
      <c r="E241" s="2" t="s">
        <v>36</v>
      </c>
      <c r="F241" s="2" t="s">
        <v>1366</v>
      </c>
      <c r="G241" s="2" t="s">
        <v>1367</v>
      </c>
      <c r="H241" s="2" t="s">
        <v>0</v>
      </c>
      <c r="I241" s="2" t="s">
        <v>1368</v>
      </c>
      <c r="J241" s="2" t="s">
        <v>1369</v>
      </c>
      <c r="K241" s="2" t="s">
        <v>852</v>
      </c>
      <c r="L241" s="2" t="s">
        <v>1370</v>
      </c>
      <c r="M241" s="2">
        <v>6</v>
      </c>
      <c r="N241" s="2">
        <v>13</v>
      </c>
      <c r="O241" s="2" t="s">
        <v>43</v>
      </c>
      <c r="P241" s="2" t="s">
        <v>44</v>
      </c>
      <c r="Q241" s="2">
        <v>3</v>
      </c>
      <c r="R241" s="2">
        <v>0</v>
      </c>
      <c r="S241" s="2">
        <v>3</v>
      </c>
      <c r="T241" s="2">
        <v>3</v>
      </c>
      <c r="U241" s="2">
        <v>0</v>
      </c>
      <c r="V241" s="2" t="s">
        <v>45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 t="s">
        <v>0</v>
      </c>
      <c r="AD241" s="2">
        <v>1</v>
      </c>
      <c r="AE241" s="2" t="s">
        <v>46</v>
      </c>
    </row>
    <row r="242" spans="1:31" ht="51" x14ac:dyDescent="0.2">
      <c r="A242" s="5" t="str">
        <f>HYPERLINK("http://www.patentics.cn/invokexml.do?sf=ShowPatent&amp;spn=CN202309250&amp;sv=251ba559306761b73ed15bf042af1545","CN202309250")</f>
        <v>CN202309250</v>
      </c>
      <c r="B242" s="3" t="s">
        <v>1371</v>
      </c>
      <c r="C242" s="3" t="s">
        <v>1372</v>
      </c>
      <c r="D242" s="3" t="s">
        <v>189</v>
      </c>
      <c r="E242" s="3" t="s">
        <v>190</v>
      </c>
      <c r="F242" s="3" t="s">
        <v>1373</v>
      </c>
      <c r="G242" s="3" t="s">
        <v>1374</v>
      </c>
      <c r="H242" s="3" t="s">
        <v>0</v>
      </c>
      <c r="I242" s="3" t="s">
        <v>1003</v>
      </c>
      <c r="J242" s="3" t="s">
        <v>1375</v>
      </c>
      <c r="K242" s="3" t="s">
        <v>852</v>
      </c>
      <c r="L242" s="3" t="s">
        <v>1376</v>
      </c>
      <c r="M242" s="3">
        <v>7</v>
      </c>
      <c r="N242" s="3">
        <v>33</v>
      </c>
      <c r="O242" s="3" t="s">
        <v>55</v>
      </c>
      <c r="P242" s="3" t="s">
        <v>44</v>
      </c>
      <c r="Q242" s="3">
        <v>1</v>
      </c>
      <c r="R242" s="3">
        <v>0</v>
      </c>
      <c r="S242" s="3">
        <v>1</v>
      </c>
      <c r="T242" s="3">
        <v>1</v>
      </c>
      <c r="U242" s="3">
        <v>1</v>
      </c>
      <c r="V242" s="3" t="s">
        <v>256</v>
      </c>
      <c r="W242" s="3">
        <v>0</v>
      </c>
      <c r="X242" s="3">
        <v>1</v>
      </c>
      <c r="Y242" s="3">
        <v>1</v>
      </c>
      <c r="Z242" s="3">
        <v>1</v>
      </c>
      <c r="AA242" s="3">
        <v>0</v>
      </c>
      <c r="AB242" s="3">
        <v>0</v>
      </c>
      <c r="AC242" s="3">
        <v>12</v>
      </c>
      <c r="AD242" s="3" t="s">
        <v>0</v>
      </c>
      <c r="AE242" s="3" t="s">
        <v>46</v>
      </c>
    </row>
    <row r="243" spans="1:31" ht="38.25" x14ac:dyDescent="0.2">
      <c r="A243" s="4" t="str">
        <f>HYPERLINK("http://www.patentics.cn/invokexml.do?sf=ShowPatent&amp;spn=CN103375903B&amp;sv=05c984f2efd42d0004e1ce4593401317","CN103375903B")</f>
        <v>CN103375903B</v>
      </c>
      <c r="B243" s="2" t="s">
        <v>1377</v>
      </c>
      <c r="C243" s="2" t="s">
        <v>1378</v>
      </c>
      <c r="D243" s="2" t="s">
        <v>1379</v>
      </c>
      <c r="E243" s="2" t="s">
        <v>624</v>
      </c>
      <c r="F243" s="2" t="s">
        <v>1380</v>
      </c>
      <c r="G243" s="2" t="s">
        <v>38</v>
      </c>
      <c r="H243" s="2" t="s">
        <v>0</v>
      </c>
      <c r="I243" s="2" t="s">
        <v>1381</v>
      </c>
      <c r="J243" s="2" t="s">
        <v>215</v>
      </c>
      <c r="K243" s="2" t="s">
        <v>41</v>
      </c>
      <c r="L243" s="2" t="s">
        <v>453</v>
      </c>
      <c r="M243" s="2">
        <v>8</v>
      </c>
      <c r="N243" s="2">
        <v>29</v>
      </c>
      <c r="O243" s="2" t="s">
        <v>43</v>
      </c>
      <c r="P243" s="2" t="s">
        <v>44</v>
      </c>
      <c r="Q243" s="2">
        <v>4</v>
      </c>
      <c r="R243" s="2">
        <v>0</v>
      </c>
      <c r="S243" s="2">
        <v>4</v>
      </c>
      <c r="T243" s="2">
        <v>4</v>
      </c>
      <c r="U243" s="2">
        <v>0</v>
      </c>
      <c r="V243" s="2" t="s">
        <v>45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 t="s">
        <v>0</v>
      </c>
      <c r="AD243" s="2">
        <v>1</v>
      </c>
      <c r="AE243" s="2" t="s">
        <v>46</v>
      </c>
    </row>
    <row r="244" spans="1:31" ht="63.75" x14ac:dyDescent="0.2">
      <c r="A244" s="5" t="str">
        <f>HYPERLINK("http://www.patentics.cn/invokexml.do?sf=ShowPatent&amp;spn=CN201297716&amp;sv=05981b99580af618b60632045eb9a2fb","CN201297716")</f>
        <v>CN201297716</v>
      </c>
      <c r="B244" s="3" t="s">
        <v>1382</v>
      </c>
      <c r="C244" s="3" t="s">
        <v>1383</v>
      </c>
      <c r="D244" s="3" t="s">
        <v>49</v>
      </c>
      <c r="E244" s="3" t="s">
        <v>50</v>
      </c>
      <c r="F244" s="3" t="s">
        <v>1384</v>
      </c>
      <c r="G244" s="3" t="s">
        <v>1385</v>
      </c>
      <c r="H244" s="3" t="s">
        <v>0</v>
      </c>
      <c r="I244" s="3" t="s">
        <v>1386</v>
      </c>
      <c r="J244" s="3" t="s">
        <v>538</v>
      </c>
      <c r="K244" s="3" t="s">
        <v>41</v>
      </c>
      <c r="L244" s="3" t="s">
        <v>42</v>
      </c>
      <c r="M244" s="3">
        <v>8</v>
      </c>
      <c r="N244" s="3">
        <v>8</v>
      </c>
      <c r="O244" s="3" t="s">
        <v>55</v>
      </c>
      <c r="P244" s="3" t="s">
        <v>44</v>
      </c>
      <c r="Q244" s="3">
        <v>0</v>
      </c>
      <c r="R244" s="3">
        <v>0</v>
      </c>
      <c r="S244" s="3">
        <v>0</v>
      </c>
      <c r="T244" s="3">
        <v>0</v>
      </c>
      <c r="U244" s="3">
        <v>1</v>
      </c>
      <c r="V244" s="3" t="s">
        <v>284</v>
      </c>
      <c r="W244" s="3">
        <v>0</v>
      </c>
      <c r="X244" s="3">
        <v>1</v>
      </c>
      <c r="Y244" s="3">
        <v>1</v>
      </c>
      <c r="Z244" s="3">
        <v>1</v>
      </c>
      <c r="AA244" s="3">
        <v>0</v>
      </c>
      <c r="AB244" s="3">
        <v>0</v>
      </c>
      <c r="AC244" s="3">
        <v>12</v>
      </c>
      <c r="AD244" s="3" t="s">
        <v>0</v>
      </c>
      <c r="AE244" s="3" t="s">
        <v>46</v>
      </c>
    </row>
    <row r="245" spans="1:31" ht="38.25" x14ac:dyDescent="0.2">
      <c r="A245" s="4" t="str">
        <f>HYPERLINK("http://www.patentics.cn/invokexml.do?sf=ShowPatent&amp;spn=CN103292445B&amp;sv=71c80c860e9796bcdeb70ae76a129172","CN103292445B")</f>
        <v>CN103292445B</v>
      </c>
      <c r="B245" s="2" t="s">
        <v>1387</v>
      </c>
      <c r="C245" s="2" t="s">
        <v>1286</v>
      </c>
      <c r="D245" s="2" t="s">
        <v>925</v>
      </c>
      <c r="E245" s="2" t="s">
        <v>624</v>
      </c>
      <c r="F245" s="2" t="s">
        <v>1388</v>
      </c>
      <c r="G245" s="2" t="s">
        <v>713</v>
      </c>
      <c r="H245" s="2" t="s">
        <v>0</v>
      </c>
      <c r="I245" s="2" t="s">
        <v>1288</v>
      </c>
      <c r="J245" s="2" t="s">
        <v>1389</v>
      </c>
      <c r="K245" s="2" t="s">
        <v>41</v>
      </c>
      <c r="L245" s="2" t="s">
        <v>1357</v>
      </c>
      <c r="M245" s="2">
        <v>10</v>
      </c>
      <c r="N245" s="2">
        <v>12</v>
      </c>
      <c r="O245" s="2" t="s">
        <v>43</v>
      </c>
      <c r="P245" s="2" t="s">
        <v>44</v>
      </c>
      <c r="Q245" s="2">
        <v>4</v>
      </c>
      <c r="R245" s="2">
        <v>2</v>
      </c>
      <c r="S245" s="2">
        <v>2</v>
      </c>
      <c r="T245" s="2">
        <v>3</v>
      </c>
      <c r="U245" s="2">
        <v>0</v>
      </c>
      <c r="V245" s="2" t="s">
        <v>45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 t="s">
        <v>0</v>
      </c>
      <c r="AD245" s="2">
        <v>1</v>
      </c>
      <c r="AE245" s="2" t="s">
        <v>46</v>
      </c>
    </row>
    <row r="246" spans="1:31" ht="51" x14ac:dyDescent="0.2">
      <c r="A246" s="5" t="str">
        <f>HYPERLINK("http://www.patentics.cn/invokexml.do?sf=ShowPatent&amp;spn=CN201191041&amp;sv=a946ad2a066391c643e6e09626c471ed","CN201191041")</f>
        <v>CN201191041</v>
      </c>
      <c r="B246" s="3" t="s">
        <v>1289</v>
      </c>
      <c r="C246" s="3" t="s">
        <v>462</v>
      </c>
      <c r="D246" s="3" t="s">
        <v>49</v>
      </c>
      <c r="E246" s="3" t="s">
        <v>50</v>
      </c>
      <c r="F246" s="3" t="s">
        <v>1290</v>
      </c>
      <c r="G246" s="3" t="s">
        <v>88</v>
      </c>
      <c r="H246" s="3" t="s">
        <v>0</v>
      </c>
      <c r="I246" s="3" t="s">
        <v>1291</v>
      </c>
      <c r="J246" s="3" t="s">
        <v>1292</v>
      </c>
      <c r="K246" s="3" t="s">
        <v>41</v>
      </c>
      <c r="L246" s="3" t="s">
        <v>42</v>
      </c>
      <c r="M246" s="3">
        <v>5</v>
      </c>
      <c r="N246" s="3">
        <v>16</v>
      </c>
      <c r="O246" s="3" t="s">
        <v>55</v>
      </c>
      <c r="P246" s="3" t="s">
        <v>44</v>
      </c>
      <c r="Q246" s="3">
        <v>1</v>
      </c>
      <c r="R246" s="3">
        <v>0</v>
      </c>
      <c r="S246" s="3">
        <v>1</v>
      </c>
      <c r="T246" s="3">
        <v>1</v>
      </c>
      <c r="U246" s="3">
        <v>2</v>
      </c>
      <c r="V246" s="3" t="s">
        <v>141</v>
      </c>
      <c r="W246" s="3">
        <v>0</v>
      </c>
      <c r="X246" s="3">
        <v>2</v>
      </c>
      <c r="Y246" s="3">
        <v>1</v>
      </c>
      <c r="Z246" s="3">
        <v>1</v>
      </c>
      <c r="AA246" s="3">
        <v>0</v>
      </c>
      <c r="AB246" s="3">
        <v>0</v>
      </c>
      <c r="AC246" s="3">
        <v>12</v>
      </c>
      <c r="AD246" s="3" t="s">
        <v>0</v>
      </c>
      <c r="AE246" s="3" t="s">
        <v>46</v>
      </c>
    </row>
    <row r="247" spans="1:31" ht="51" x14ac:dyDescent="0.2">
      <c r="A247" s="4" t="str">
        <f>HYPERLINK("http://www.patentics.cn/invokexml.do?sf=ShowPatent&amp;spn=CN103574847B&amp;sv=0fa25c9a44f2eef317b4f2bdf7f58425","CN103574847B")</f>
        <v>CN103574847B</v>
      </c>
      <c r="B247" s="2" t="s">
        <v>1390</v>
      </c>
      <c r="C247" s="2" t="s">
        <v>1391</v>
      </c>
      <c r="D247" s="2" t="s">
        <v>79</v>
      </c>
      <c r="E247" s="2" t="s">
        <v>36</v>
      </c>
      <c r="F247" s="2" t="s">
        <v>1392</v>
      </c>
      <c r="G247" s="2" t="s">
        <v>1393</v>
      </c>
      <c r="H247" s="2" t="s">
        <v>0</v>
      </c>
      <c r="I247" s="2" t="s">
        <v>1394</v>
      </c>
      <c r="J247" s="2" t="s">
        <v>1389</v>
      </c>
      <c r="K247" s="2" t="s">
        <v>41</v>
      </c>
      <c r="L247" s="2" t="s">
        <v>91</v>
      </c>
      <c r="M247" s="2">
        <v>9</v>
      </c>
      <c r="N247" s="2">
        <v>21</v>
      </c>
      <c r="O247" s="2" t="s">
        <v>43</v>
      </c>
      <c r="P247" s="2" t="s">
        <v>44</v>
      </c>
      <c r="Q247" s="2">
        <v>6</v>
      </c>
      <c r="R247" s="2">
        <v>1</v>
      </c>
      <c r="S247" s="2">
        <v>5</v>
      </c>
      <c r="T247" s="2">
        <v>5</v>
      </c>
      <c r="U247" s="2">
        <v>0</v>
      </c>
      <c r="V247" s="2" t="s">
        <v>45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 t="s">
        <v>0</v>
      </c>
      <c r="AD247" s="2">
        <v>1</v>
      </c>
      <c r="AE247" s="2" t="s">
        <v>46</v>
      </c>
    </row>
    <row r="248" spans="1:31" ht="51" x14ac:dyDescent="0.2">
      <c r="A248" s="5" t="str">
        <f>HYPERLINK("http://www.patentics.cn/invokexml.do?sf=ShowPatent&amp;spn=CN102121725&amp;sv=d5d4d60b2cafd0aec78b6b3a53cd7f3d","CN102121725")</f>
        <v>CN102121725</v>
      </c>
      <c r="B248" s="3" t="s">
        <v>1395</v>
      </c>
      <c r="C248" s="3" t="s">
        <v>48</v>
      </c>
      <c r="D248" s="3" t="s">
        <v>49</v>
      </c>
      <c r="E248" s="3" t="s">
        <v>50</v>
      </c>
      <c r="F248" s="3" t="s">
        <v>51</v>
      </c>
      <c r="G248" s="3" t="s">
        <v>52</v>
      </c>
      <c r="H248" s="3" t="s">
        <v>53</v>
      </c>
      <c r="I248" s="3" t="s">
        <v>53</v>
      </c>
      <c r="J248" s="3" t="s">
        <v>1396</v>
      </c>
      <c r="K248" s="3" t="s">
        <v>41</v>
      </c>
      <c r="L248" s="3" t="s">
        <v>42</v>
      </c>
      <c r="M248" s="3">
        <v>13</v>
      </c>
      <c r="N248" s="3">
        <v>21</v>
      </c>
      <c r="O248" s="3" t="s">
        <v>75</v>
      </c>
      <c r="P248" s="3" t="s">
        <v>44</v>
      </c>
      <c r="Q248" s="3">
        <v>0</v>
      </c>
      <c r="R248" s="3">
        <v>0</v>
      </c>
      <c r="S248" s="3">
        <v>0</v>
      </c>
      <c r="T248" s="3">
        <v>0</v>
      </c>
      <c r="U248" s="3">
        <v>5</v>
      </c>
      <c r="V248" s="3" t="s">
        <v>1397</v>
      </c>
      <c r="W248" s="3">
        <v>2</v>
      </c>
      <c r="X248" s="3">
        <v>3</v>
      </c>
      <c r="Y248" s="3">
        <v>3</v>
      </c>
      <c r="Z248" s="3">
        <v>1</v>
      </c>
      <c r="AA248" s="3">
        <v>1</v>
      </c>
      <c r="AB248" s="3">
        <v>1</v>
      </c>
      <c r="AC248" s="3">
        <v>12</v>
      </c>
      <c r="AD248" s="3" t="s">
        <v>0</v>
      </c>
      <c r="AE248" s="3" t="s">
        <v>46</v>
      </c>
    </row>
    <row r="249" spans="1:31" ht="25.5" x14ac:dyDescent="0.2">
      <c r="A249" s="4" t="str">
        <f>HYPERLINK("http://www.patentics.cn/invokexml.do?sf=ShowPatent&amp;spn=CN103557646B&amp;sv=1d74ac7fa9f694a2c4edf2a47225281f","CN103557646B")</f>
        <v>CN103557646B</v>
      </c>
      <c r="B249" s="2" t="s">
        <v>1398</v>
      </c>
      <c r="C249" s="2" t="s">
        <v>1399</v>
      </c>
      <c r="D249" s="2" t="s">
        <v>180</v>
      </c>
      <c r="E249" s="2" t="s">
        <v>36</v>
      </c>
      <c r="F249" s="2" t="s">
        <v>1400</v>
      </c>
      <c r="G249" s="2" t="s">
        <v>1400</v>
      </c>
      <c r="H249" s="2" t="s">
        <v>0</v>
      </c>
      <c r="I249" s="2" t="s">
        <v>1401</v>
      </c>
      <c r="J249" s="2" t="s">
        <v>627</v>
      </c>
      <c r="K249" s="2" t="s">
        <v>347</v>
      </c>
      <c r="L249" s="2" t="s">
        <v>1133</v>
      </c>
      <c r="M249" s="2">
        <v>20</v>
      </c>
      <c r="N249" s="2">
        <v>24</v>
      </c>
      <c r="O249" s="2" t="s">
        <v>43</v>
      </c>
      <c r="P249" s="2" t="s">
        <v>44</v>
      </c>
      <c r="Q249" s="2">
        <v>12</v>
      </c>
      <c r="R249" s="2">
        <v>2</v>
      </c>
      <c r="S249" s="2">
        <v>10</v>
      </c>
      <c r="T249" s="2">
        <v>9</v>
      </c>
      <c r="U249" s="2">
        <v>0</v>
      </c>
      <c r="V249" s="2" t="s">
        <v>45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 t="s">
        <v>0</v>
      </c>
      <c r="AD249" s="2">
        <v>1</v>
      </c>
      <c r="AE249" s="2" t="s">
        <v>46</v>
      </c>
    </row>
    <row r="250" spans="1:31" ht="38.25" x14ac:dyDescent="0.2">
      <c r="A250" s="5" t="str">
        <f>HYPERLINK("http://www.patentics.cn/invokexml.do?sf=ShowPatent&amp;spn=CN102678572&amp;sv=48c08f6118cf4e4d383d9e3b0a2349cc","CN102678572")</f>
        <v>CN102678572</v>
      </c>
      <c r="B250" s="3" t="s">
        <v>1402</v>
      </c>
      <c r="C250" s="3" t="s">
        <v>1403</v>
      </c>
      <c r="D250" s="3" t="s">
        <v>49</v>
      </c>
      <c r="E250" s="3" t="s">
        <v>50</v>
      </c>
      <c r="F250" s="3" t="s">
        <v>1404</v>
      </c>
      <c r="G250" s="3" t="s">
        <v>1405</v>
      </c>
      <c r="H250" s="3" t="s">
        <v>1406</v>
      </c>
      <c r="I250" s="3" t="s">
        <v>1406</v>
      </c>
      <c r="J250" s="3" t="s">
        <v>1407</v>
      </c>
      <c r="K250" s="3" t="s">
        <v>185</v>
      </c>
      <c r="L250" s="3" t="s">
        <v>1408</v>
      </c>
      <c r="M250" s="3">
        <v>9</v>
      </c>
      <c r="N250" s="3">
        <v>18</v>
      </c>
      <c r="O250" s="3" t="s">
        <v>75</v>
      </c>
      <c r="P250" s="3" t="s">
        <v>44</v>
      </c>
      <c r="Q250" s="3">
        <v>0</v>
      </c>
      <c r="R250" s="3">
        <v>0</v>
      </c>
      <c r="S250" s="3">
        <v>0</v>
      </c>
      <c r="T250" s="3">
        <v>0</v>
      </c>
      <c r="U250" s="3">
        <v>1</v>
      </c>
      <c r="V250" s="3" t="s">
        <v>1409</v>
      </c>
      <c r="W250" s="3">
        <v>0</v>
      </c>
      <c r="X250" s="3">
        <v>1</v>
      </c>
      <c r="Y250" s="3">
        <v>1</v>
      </c>
      <c r="Z250" s="3">
        <v>1</v>
      </c>
      <c r="AA250" s="3">
        <v>1</v>
      </c>
      <c r="AB250" s="3">
        <v>1</v>
      </c>
      <c r="AC250" s="3">
        <v>12</v>
      </c>
      <c r="AD250" s="3" t="s">
        <v>0</v>
      </c>
      <c r="AE250" s="3" t="s">
        <v>46</v>
      </c>
    </row>
    <row r="251" spans="1:31" ht="38.25" x14ac:dyDescent="0.2">
      <c r="A251" s="4" t="str">
        <f>HYPERLINK("http://www.patentics.cn/invokexml.do?sf=ShowPatent&amp;spn=CN102519179B&amp;sv=e258c803d38be7309457c094e639ac5b","CN102519179B")</f>
        <v>CN102519179B</v>
      </c>
      <c r="B251" s="2" t="s">
        <v>1410</v>
      </c>
      <c r="C251" s="2" t="s">
        <v>1009</v>
      </c>
      <c r="D251" s="2" t="s">
        <v>79</v>
      </c>
      <c r="E251" s="2" t="s">
        <v>36</v>
      </c>
      <c r="F251" s="2" t="s">
        <v>1411</v>
      </c>
      <c r="G251" s="2" t="s">
        <v>531</v>
      </c>
      <c r="H251" s="2" t="s">
        <v>0</v>
      </c>
      <c r="I251" s="2" t="s">
        <v>1139</v>
      </c>
      <c r="J251" s="2" t="s">
        <v>627</v>
      </c>
      <c r="K251" s="2" t="s">
        <v>347</v>
      </c>
      <c r="L251" s="2" t="s">
        <v>1011</v>
      </c>
      <c r="M251" s="2">
        <v>10</v>
      </c>
      <c r="N251" s="2">
        <v>19</v>
      </c>
      <c r="O251" s="2" t="s">
        <v>43</v>
      </c>
      <c r="P251" s="2" t="s">
        <v>44</v>
      </c>
      <c r="Q251" s="2">
        <v>4</v>
      </c>
      <c r="R251" s="2">
        <v>0</v>
      </c>
      <c r="S251" s="2">
        <v>4</v>
      </c>
      <c r="T251" s="2">
        <v>4</v>
      </c>
      <c r="U251" s="2">
        <v>0</v>
      </c>
      <c r="V251" s="2" t="s">
        <v>45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 t="s">
        <v>0</v>
      </c>
      <c r="AD251" s="2">
        <v>1</v>
      </c>
      <c r="AE251" s="2" t="s">
        <v>46</v>
      </c>
    </row>
    <row r="252" spans="1:31" ht="25.5" x14ac:dyDescent="0.2">
      <c r="A252" s="5" t="str">
        <f>HYPERLINK("http://www.patentics.cn/invokexml.do?sf=ShowPatent&amp;spn=CN201876184&amp;sv=218832072ef095f19b1721b94350c7ea","CN201876184")</f>
        <v>CN201876184</v>
      </c>
      <c r="B252" s="3" t="s">
        <v>1012</v>
      </c>
      <c r="C252" s="3" t="s">
        <v>1013</v>
      </c>
      <c r="D252" s="3" t="s">
        <v>49</v>
      </c>
      <c r="E252" s="3" t="s">
        <v>50</v>
      </c>
      <c r="F252" s="3" t="s">
        <v>1014</v>
      </c>
      <c r="G252" s="3" t="s">
        <v>1015</v>
      </c>
      <c r="H252" s="3" t="s">
        <v>0</v>
      </c>
      <c r="I252" s="3" t="s">
        <v>90</v>
      </c>
      <c r="J252" s="3" t="s">
        <v>1016</v>
      </c>
      <c r="K252" s="3" t="s">
        <v>1017</v>
      </c>
      <c r="L252" s="3" t="s">
        <v>1018</v>
      </c>
      <c r="M252" s="3">
        <v>10</v>
      </c>
      <c r="N252" s="3">
        <v>8</v>
      </c>
      <c r="O252" s="3" t="s">
        <v>55</v>
      </c>
      <c r="P252" s="3" t="s">
        <v>44</v>
      </c>
      <c r="Q252" s="3">
        <v>0</v>
      </c>
      <c r="R252" s="3">
        <v>0</v>
      </c>
      <c r="S252" s="3">
        <v>0</v>
      </c>
      <c r="T252" s="3">
        <v>0</v>
      </c>
      <c r="U252" s="3">
        <v>10</v>
      </c>
      <c r="V252" s="3" t="s">
        <v>1019</v>
      </c>
      <c r="W252" s="3">
        <v>0</v>
      </c>
      <c r="X252" s="3">
        <v>10</v>
      </c>
      <c r="Y252" s="3">
        <v>3</v>
      </c>
      <c r="Z252" s="3">
        <v>1</v>
      </c>
      <c r="AA252" s="3">
        <v>0</v>
      </c>
      <c r="AB252" s="3">
        <v>0</v>
      </c>
      <c r="AC252" s="3">
        <v>12</v>
      </c>
      <c r="AD252" s="3" t="s">
        <v>0</v>
      </c>
      <c r="AE252" s="3" t="s">
        <v>46</v>
      </c>
    </row>
    <row r="253" spans="1:31" ht="51" x14ac:dyDescent="0.2">
      <c r="A253" s="4" t="str">
        <f>HYPERLINK("http://www.patentics.cn/invokexml.do?sf=ShowPatent&amp;spn=CN102506524B&amp;sv=117ea237d54f025cc7c45f86e6db77ef","CN102506524B")</f>
        <v>CN102506524B</v>
      </c>
      <c r="B253" s="2" t="s">
        <v>1412</v>
      </c>
      <c r="C253" s="2" t="s">
        <v>1413</v>
      </c>
      <c r="D253" s="2" t="s">
        <v>35</v>
      </c>
      <c r="E253" s="2" t="s">
        <v>36</v>
      </c>
      <c r="F253" s="2" t="s">
        <v>1414</v>
      </c>
      <c r="G253" s="2" t="s">
        <v>1415</v>
      </c>
      <c r="H253" s="2" t="s">
        <v>0</v>
      </c>
      <c r="I253" s="2" t="s">
        <v>903</v>
      </c>
      <c r="J253" s="2" t="s">
        <v>627</v>
      </c>
      <c r="K253" s="2" t="s">
        <v>347</v>
      </c>
      <c r="L253" s="2" t="s">
        <v>1011</v>
      </c>
      <c r="M253" s="2">
        <v>9</v>
      </c>
      <c r="N253" s="2">
        <v>15</v>
      </c>
      <c r="O253" s="2" t="s">
        <v>43</v>
      </c>
      <c r="P253" s="2" t="s">
        <v>44</v>
      </c>
      <c r="Q253" s="2">
        <v>5</v>
      </c>
      <c r="R253" s="2">
        <v>0</v>
      </c>
      <c r="S253" s="2">
        <v>5</v>
      </c>
      <c r="T253" s="2">
        <v>5</v>
      </c>
      <c r="U253" s="2">
        <v>0</v>
      </c>
      <c r="V253" s="2" t="s">
        <v>45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 t="s">
        <v>0</v>
      </c>
      <c r="AD253" s="2">
        <v>1</v>
      </c>
      <c r="AE253" s="2" t="s">
        <v>46</v>
      </c>
    </row>
    <row r="254" spans="1:31" ht="25.5" x14ac:dyDescent="0.2">
      <c r="A254" s="5" t="str">
        <f>HYPERLINK("http://www.patentics.cn/invokexml.do?sf=ShowPatent&amp;spn=CN201876184&amp;sv=218832072ef095f19b1721b94350c7ea","CN201876184")</f>
        <v>CN201876184</v>
      </c>
      <c r="B254" s="3" t="s">
        <v>1012</v>
      </c>
      <c r="C254" s="3" t="s">
        <v>1013</v>
      </c>
      <c r="D254" s="3" t="s">
        <v>49</v>
      </c>
      <c r="E254" s="3" t="s">
        <v>50</v>
      </c>
      <c r="F254" s="3" t="s">
        <v>1014</v>
      </c>
      <c r="G254" s="3" t="s">
        <v>1015</v>
      </c>
      <c r="H254" s="3" t="s">
        <v>0</v>
      </c>
      <c r="I254" s="3" t="s">
        <v>90</v>
      </c>
      <c r="J254" s="3" t="s">
        <v>1016</v>
      </c>
      <c r="K254" s="3" t="s">
        <v>1017</v>
      </c>
      <c r="L254" s="3" t="s">
        <v>1018</v>
      </c>
      <c r="M254" s="3">
        <v>10</v>
      </c>
      <c r="N254" s="3">
        <v>8</v>
      </c>
      <c r="O254" s="3" t="s">
        <v>55</v>
      </c>
      <c r="P254" s="3" t="s">
        <v>44</v>
      </c>
      <c r="Q254" s="3">
        <v>0</v>
      </c>
      <c r="R254" s="3">
        <v>0</v>
      </c>
      <c r="S254" s="3">
        <v>0</v>
      </c>
      <c r="T254" s="3">
        <v>0</v>
      </c>
      <c r="U254" s="3">
        <v>10</v>
      </c>
      <c r="V254" s="3" t="s">
        <v>1019</v>
      </c>
      <c r="W254" s="3">
        <v>0</v>
      </c>
      <c r="X254" s="3">
        <v>10</v>
      </c>
      <c r="Y254" s="3">
        <v>3</v>
      </c>
      <c r="Z254" s="3">
        <v>1</v>
      </c>
      <c r="AA254" s="3">
        <v>0</v>
      </c>
      <c r="AB254" s="3">
        <v>0</v>
      </c>
      <c r="AC254" s="3">
        <v>12</v>
      </c>
      <c r="AD254" s="3" t="s">
        <v>0</v>
      </c>
      <c r="AE254" s="3" t="s">
        <v>46</v>
      </c>
    </row>
    <row r="255" spans="1:31" ht="25.5" x14ac:dyDescent="0.2">
      <c r="A255" s="4" t="str">
        <f>HYPERLINK("http://www.patentics.cn/invokexml.do?sf=ShowPatent&amp;spn=CN103511275B&amp;sv=69ad55ba50fbe8950217087a007f8bde","CN103511275B")</f>
        <v>CN103511275B</v>
      </c>
      <c r="B255" s="2" t="s">
        <v>1416</v>
      </c>
      <c r="C255" s="2" t="s">
        <v>1417</v>
      </c>
      <c r="D255" s="2" t="s">
        <v>180</v>
      </c>
      <c r="E255" s="2" t="s">
        <v>36</v>
      </c>
      <c r="F255" s="2" t="s">
        <v>1418</v>
      </c>
      <c r="G255" s="2" t="s">
        <v>1400</v>
      </c>
      <c r="H255" s="2" t="s">
        <v>0</v>
      </c>
      <c r="I255" s="2" t="s">
        <v>1419</v>
      </c>
      <c r="J255" s="2" t="s">
        <v>1420</v>
      </c>
      <c r="K255" s="2" t="s">
        <v>185</v>
      </c>
      <c r="L255" s="2" t="s">
        <v>195</v>
      </c>
      <c r="M255" s="2">
        <v>10</v>
      </c>
      <c r="N255" s="2">
        <v>23</v>
      </c>
      <c r="O255" s="2" t="s">
        <v>43</v>
      </c>
      <c r="P255" s="2" t="s">
        <v>44</v>
      </c>
      <c r="Q255" s="2">
        <v>5</v>
      </c>
      <c r="R255" s="2">
        <v>4</v>
      </c>
      <c r="S255" s="2">
        <v>1</v>
      </c>
      <c r="T255" s="2">
        <v>2</v>
      </c>
      <c r="U255" s="2">
        <v>0</v>
      </c>
      <c r="V255" s="2" t="s">
        <v>45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 t="s">
        <v>0</v>
      </c>
      <c r="AD255" s="2">
        <v>1</v>
      </c>
      <c r="AE255" s="2" t="s">
        <v>46</v>
      </c>
    </row>
    <row r="256" spans="1:31" ht="38.25" x14ac:dyDescent="0.2">
      <c r="A256" s="5" t="str">
        <f>HYPERLINK("http://www.patentics.cn/invokexml.do?sf=ShowPatent&amp;spn=CN102720675&amp;sv=88311bb78bc58845e74de419d5ac7e86","CN102720675")</f>
        <v>CN102720675</v>
      </c>
      <c r="B256" s="3" t="s">
        <v>1421</v>
      </c>
      <c r="C256" s="3" t="s">
        <v>1422</v>
      </c>
      <c r="D256" s="3" t="s">
        <v>189</v>
      </c>
      <c r="E256" s="3" t="s">
        <v>190</v>
      </c>
      <c r="F256" s="3" t="s">
        <v>1423</v>
      </c>
      <c r="G256" s="3" t="s">
        <v>1424</v>
      </c>
      <c r="H256" s="3" t="s">
        <v>0</v>
      </c>
      <c r="I256" s="3" t="s">
        <v>764</v>
      </c>
      <c r="J256" s="3" t="s">
        <v>146</v>
      </c>
      <c r="K256" s="3" t="s">
        <v>185</v>
      </c>
      <c r="L256" s="3" t="s">
        <v>1248</v>
      </c>
      <c r="M256" s="3">
        <v>6</v>
      </c>
      <c r="N256" s="3">
        <v>23</v>
      </c>
      <c r="O256" s="3" t="s">
        <v>75</v>
      </c>
      <c r="P256" s="3" t="s">
        <v>44</v>
      </c>
      <c r="Q256" s="3">
        <v>1</v>
      </c>
      <c r="R256" s="3">
        <v>0</v>
      </c>
      <c r="S256" s="3">
        <v>1</v>
      </c>
      <c r="T256" s="3">
        <v>1</v>
      </c>
      <c r="U256" s="3">
        <v>1</v>
      </c>
      <c r="V256" s="3" t="s">
        <v>224</v>
      </c>
      <c r="W256" s="3">
        <v>0</v>
      </c>
      <c r="X256" s="3">
        <v>1</v>
      </c>
      <c r="Y256" s="3">
        <v>1</v>
      </c>
      <c r="Z256" s="3">
        <v>1</v>
      </c>
      <c r="AA256" s="3">
        <v>0</v>
      </c>
      <c r="AB256" s="3">
        <v>0</v>
      </c>
      <c r="AC256" s="3">
        <v>12</v>
      </c>
      <c r="AD256" s="3" t="s">
        <v>0</v>
      </c>
      <c r="AE256" s="3" t="s">
        <v>46</v>
      </c>
    </row>
    <row r="257" spans="1:31" ht="38.25" x14ac:dyDescent="0.2">
      <c r="A257" s="4" t="str">
        <f>HYPERLINK("http://www.patentics.cn/invokexml.do?sf=ShowPatent&amp;spn=CN103256687B&amp;sv=7d51f2738a6d2d504c6a41555e39703e","CN103256687B")</f>
        <v>CN103256687B</v>
      </c>
      <c r="B257" s="2" t="s">
        <v>1425</v>
      </c>
      <c r="C257" s="2" t="s">
        <v>1426</v>
      </c>
      <c r="D257" s="2" t="s">
        <v>925</v>
      </c>
      <c r="E257" s="2" t="s">
        <v>624</v>
      </c>
      <c r="F257" s="2" t="s">
        <v>1427</v>
      </c>
      <c r="G257" s="2" t="s">
        <v>725</v>
      </c>
      <c r="H257" s="2" t="s">
        <v>0</v>
      </c>
      <c r="I257" s="2" t="s">
        <v>1428</v>
      </c>
      <c r="J257" s="2" t="s">
        <v>1429</v>
      </c>
      <c r="K257" s="2" t="s">
        <v>41</v>
      </c>
      <c r="L257" s="2" t="s">
        <v>84</v>
      </c>
      <c r="M257" s="2">
        <v>12</v>
      </c>
      <c r="N257" s="2">
        <v>23</v>
      </c>
      <c r="O257" s="2" t="s">
        <v>43</v>
      </c>
      <c r="P257" s="2" t="s">
        <v>44</v>
      </c>
      <c r="Q257" s="2">
        <v>4</v>
      </c>
      <c r="R257" s="2">
        <v>0</v>
      </c>
      <c r="S257" s="2">
        <v>4</v>
      </c>
      <c r="T257" s="2">
        <v>4</v>
      </c>
      <c r="U257" s="2">
        <v>0</v>
      </c>
      <c r="V257" s="2" t="s">
        <v>45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 t="s">
        <v>0</v>
      </c>
      <c r="AD257" s="2">
        <v>1</v>
      </c>
      <c r="AE257" s="2" t="s">
        <v>46</v>
      </c>
    </row>
    <row r="258" spans="1:31" ht="51" x14ac:dyDescent="0.2">
      <c r="A258" s="5" t="str">
        <f>HYPERLINK("http://www.patentics.cn/invokexml.do?sf=ShowPatent&amp;spn=CN101619882&amp;sv=95a713f882a5046caf0e103a3073bbdf","CN101619882")</f>
        <v>CN101619882</v>
      </c>
      <c r="B258" s="3" t="s">
        <v>1430</v>
      </c>
      <c r="C258" s="3" t="s">
        <v>1431</v>
      </c>
      <c r="D258" s="3" t="s">
        <v>49</v>
      </c>
      <c r="E258" s="3" t="s">
        <v>50</v>
      </c>
      <c r="F258" s="3" t="s">
        <v>1432</v>
      </c>
      <c r="G258" s="3" t="s">
        <v>253</v>
      </c>
      <c r="H258" s="3" t="s">
        <v>1433</v>
      </c>
      <c r="I258" s="3" t="s">
        <v>1433</v>
      </c>
      <c r="J258" s="3" t="s">
        <v>1434</v>
      </c>
      <c r="K258" s="3" t="s">
        <v>41</v>
      </c>
      <c r="L258" s="3" t="s">
        <v>84</v>
      </c>
      <c r="M258" s="3">
        <v>9</v>
      </c>
      <c r="N258" s="3">
        <v>20</v>
      </c>
      <c r="O258" s="3" t="s">
        <v>75</v>
      </c>
      <c r="P258" s="3" t="s">
        <v>44</v>
      </c>
      <c r="Q258" s="3">
        <v>2</v>
      </c>
      <c r="R258" s="3">
        <v>0</v>
      </c>
      <c r="S258" s="3">
        <v>2</v>
      </c>
      <c r="T258" s="3">
        <v>2</v>
      </c>
      <c r="U258" s="3">
        <v>4</v>
      </c>
      <c r="V258" s="3" t="s">
        <v>1435</v>
      </c>
      <c r="W258" s="3">
        <v>0</v>
      </c>
      <c r="X258" s="3">
        <v>4</v>
      </c>
      <c r="Y258" s="3">
        <v>2</v>
      </c>
      <c r="Z258" s="3">
        <v>1</v>
      </c>
      <c r="AA258" s="3">
        <v>2</v>
      </c>
      <c r="AB258" s="3">
        <v>2</v>
      </c>
      <c r="AC258" s="3">
        <v>12</v>
      </c>
      <c r="AD258" s="3" t="s">
        <v>0</v>
      </c>
      <c r="AE258" s="3" t="s">
        <v>46</v>
      </c>
    </row>
    <row r="259" spans="1:31" ht="38.25" x14ac:dyDescent="0.2">
      <c r="A259" s="4" t="str">
        <f>HYPERLINK("http://www.patentics.cn/invokexml.do?sf=ShowPatent&amp;spn=CN103185387B&amp;sv=4d7114a01b02948d3b45adf8e0690f64","CN103185387B")</f>
        <v>CN103185387B</v>
      </c>
      <c r="B259" s="2" t="s">
        <v>1436</v>
      </c>
      <c r="C259" s="2" t="s">
        <v>1437</v>
      </c>
      <c r="D259" s="2" t="s">
        <v>925</v>
      </c>
      <c r="E259" s="2" t="s">
        <v>624</v>
      </c>
      <c r="F259" s="2" t="s">
        <v>1438</v>
      </c>
      <c r="G259" s="2" t="s">
        <v>1439</v>
      </c>
      <c r="H259" s="2" t="s">
        <v>0</v>
      </c>
      <c r="I259" s="2" t="s">
        <v>1440</v>
      </c>
      <c r="J259" s="2" t="s">
        <v>1429</v>
      </c>
      <c r="K259" s="2" t="s">
        <v>41</v>
      </c>
      <c r="L259" s="2" t="s">
        <v>91</v>
      </c>
      <c r="M259" s="2">
        <v>11</v>
      </c>
      <c r="N259" s="2">
        <v>33</v>
      </c>
      <c r="O259" s="2" t="s">
        <v>43</v>
      </c>
      <c r="P259" s="2" t="s">
        <v>44</v>
      </c>
      <c r="Q259" s="2">
        <v>8</v>
      </c>
      <c r="R259" s="2">
        <v>1</v>
      </c>
      <c r="S259" s="2">
        <v>7</v>
      </c>
      <c r="T259" s="2">
        <v>8</v>
      </c>
      <c r="U259" s="2">
        <v>0</v>
      </c>
      <c r="V259" s="2" t="s">
        <v>45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 t="s">
        <v>0</v>
      </c>
      <c r="AD259" s="2">
        <v>1</v>
      </c>
      <c r="AE259" s="2" t="s">
        <v>46</v>
      </c>
    </row>
    <row r="260" spans="1:31" ht="51" x14ac:dyDescent="0.2">
      <c r="A260" s="5" t="str">
        <f>HYPERLINK("http://www.patentics.cn/invokexml.do?sf=ShowPatent&amp;spn=CN101266069&amp;sv=dc22b09821586a77ccdcbbb3399d12db","CN101266069")</f>
        <v>CN101266069</v>
      </c>
      <c r="B260" s="3" t="s">
        <v>1441</v>
      </c>
      <c r="C260" s="3" t="s">
        <v>1442</v>
      </c>
      <c r="D260" s="3" t="s">
        <v>49</v>
      </c>
      <c r="E260" s="3" t="s">
        <v>50</v>
      </c>
      <c r="F260" s="3" t="s">
        <v>1443</v>
      </c>
      <c r="G260" s="3" t="s">
        <v>264</v>
      </c>
      <c r="H260" s="3" t="s">
        <v>1444</v>
      </c>
      <c r="I260" s="3" t="s">
        <v>1444</v>
      </c>
      <c r="J260" s="3" t="s">
        <v>1445</v>
      </c>
      <c r="K260" s="3" t="s">
        <v>41</v>
      </c>
      <c r="L260" s="3" t="s">
        <v>84</v>
      </c>
      <c r="M260" s="3">
        <v>5</v>
      </c>
      <c r="N260" s="3">
        <v>26</v>
      </c>
      <c r="O260" s="3" t="s">
        <v>75</v>
      </c>
      <c r="P260" s="3" t="s">
        <v>44</v>
      </c>
      <c r="Q260" s="3">
        <v>0</v>
      </c>
      <c r="R260" s="3">
        <v>0</v>
      </c>
      <c r="S260" s="3">
        <v>0</v>
      </c>
      <c r="T260" s="3">
        <v>0</v>
      </c>
      <c r="U260" s="3">
        <v>6</v>
      </c>
      <c r="V260" s="3" t="s">
        <v>776</v>
      </c>
      <c r="W260" s="3">
        <v>0</v>
      </c>
      <c r="X260" s="3">
        <v>6</v>
      </c>
      <c r="Y260" s="3">
        <v>4</v>
      </c>
      <c r="Z260" s="3">
        <v>1</v>
      </c>
      <c r="AA260" s="3">
        <v>1</v>
      </c>
      <c r="AB260" s="3">
        <v>1</v>
      </c>
      <c r="AC260" s="3">
        <v>12</v>
      </c>
      <c r="AD260" s="3" t="s">
        <v>0</v>
      </c>
      <c r="AE260" s="3" t="s">
        <v>46</v>
      </c>
    </row>
    <row r="261" spans="1:31" ht="25.5" x14ac:dyDescent="0.2">
      <c r="A261" s="4" t="str">
        <f>HYPERLINK("http://www.patentics.cn/invokexml.do?sf=ShowPatent&amp;spn=CN103017414B&amp;sv=4b9e5476246a82fc892e07584ca770aa","CN103017414B")</f>
        <v>CN103017414B</v>
      </c>
      <c r="B261" s="2" t="s">
        <v>1446</v>
      </c>
      <c r="C261" s="2" t="s">
        <v>1447</v>
      </c>
      <c r="D261" s="2" t="s">
        <v>1215</v>
      </c>
      <c r="E261" s="2" t="s">
        <v>36</v>
      </c>
      <c r="F261" s="2" t="s">
        <v>1448</v>
      </c>
      <c r="G261" s="2" t="s">
        <v>1449</v>
      </c>
      <c r="H261" s="2" t="s">
        <v>0</v>
      </c>
      <c r="I261" s="2" t="s">
        <v>1450</v>
      </c>
      <c r="J261" s="2" t="s">
        <v>1429</v>
      </c>
      <c r="K261" s="2" t="s">
        <v>347</v>
      </c>
      <c r="L261" s="2" t="s">
        <v>385</v>
      </c>
      <c r="M261" s="2">
        <v>7</v>
      </c>
      <c r="N261" s="2">
        <v>16</v>
      </c>
      <c r="O261" s="2" t="s">
        <v>43</v>
      </c>
      <c r="P261" s="2" t="s">
        <v>44</v>
      </c>
      <c r="Q261" s="2">
        <v>4</v>
      </c>
      <c r="R261" s="2">
        <v>0</v>
      </c>
      <c r="S261" s="2">
        <v>4</v>
      </c>
      <c r="T261" s="2">
        <v>3</v>
      </c>
      <c r="U261" s="2">
        <v>0</v>
      </c>
      <c r="V261" s="2" t="s">
        <v>45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 t="s">
        <v>0</v>
      </c>
      <c r="AD261" s="2">
        <v>1</v>
      </c>
      <c r="AE261" s="2" t="s">
        <v>46</v>
      </c>
    </row>
    <row r="262" spans="1:31" ht="25.5" x14ac:dyDescent="0.2">
      <c r="A262" s="5" t="str">
        <f>HYPERLINK("http://www.patentics.cn/invokexml.do?sf=ShowPatent&amp;spn=CN202521750&amp;sv=1b1a5fd6c23a36519148bd082f25a3f1","CN202521750")</f>
        <v>CN202521750</v>
      </c>
      <c r="B262" s="3" t="s">
        <v>1451</v>
      </c>
      <c r="C262" s="3" t="s">
        <v>1452</v>
      </c>
      <c r="D262" s="3" t="s">
        <v>377</v>
      </c>
      <c r="E262" s="3" t="s">
        <v>50</v>
      </c>
      <c r="F262" s="3" t="s">
        <v>1453</v>
      </c>
      <c r="G262" s="3" t="s">
        <v>1453</v>
      </c>
      <c r="H262" s="3" t="s">
        <v>0</v>
      </c>
      <c r="I262" s="3" t="s">
        <v>1454</v>
      </c>
      <c r="J262" s="3" t="s">
        <v>533</v>
      </c>
      <c r="K262" s="3" t="s">
        <v>41</v>
      </c>
      <c r="L262" s="3" t="s">
        <v>1455</v>
      </c>
      <c r="M262" s="3">
        <v>10</v>
      </c>
      <c r="N262" s="3">
        <v>6</v>
      </c>
      <c r="O262" s="3" t="s">
        <v>55</v>
      </c>
      <c r="P262" s="3" t="s">
        <v>44</v>
      </c>
      <c r="Q262" s="3">
        <v>0</v>
      </c>
      <c r="R262" s="3">
        <v>0</v>
      </c>
      <c r="S262" s="3">
        <v>0</v>
      </c>
      <c r="T262" s="3">
        <v>0</v>
      </c>
      <c r="U262" s="3">
        <v>2</v>
      </c>
      <c r="V262" s="3" t="s">
        <v>1456</v>
      </c>
      <c r="W262" s="3">
        <v>1</v>
      </c>
      <c r="X262" s="3">
        <v>1</v>
      </c>
      <c r="Y262" s="3">
        <v>2</v>
      </c>
      <c r="Z262" s="3">
        <v>1</v>
      </c>
      <c r="AA262" s="3">
        <v>0</v>
      </c>
      <c r="AB262" s="3">
        <v>0</v>
      </c>
      <c r="AC262" s="3">
        <v>12</v>
      </c>
      <c r="AD262" s="3" t="s">
        <v>0</v>
      </c>
      <c r="AE262" s="3" t="s">
        <v>57</v>
      </c>
    </row>
    <row r="263" spans="1:31" ht="25.5" x14ac:dyDescent="0.2">
      <c r="A263" s="4" t="str">
        <f>HYPERLINK("http://www.patentics.cn/invokexml.do?sf=ShowPatent&amp;spn=CN102980283B&amp;sv=6dbea590fc70fa016943474d46129ee1","CN102980283B")</f>
        <v>CN102980283B</v>
      </c>
      <c r="B263" s="2" t="s">
        <v>1457</v>
      </c>
      <c r="C263" s="2" t="s">
        <v>1458</v>
      </c>
      <c r="D263" s="2" t="s">
        <v>79</v>
      </c>
      <c r="E263" s="2" t="s">
        <v>36</v>
      </c>
      <c r="F263" s="2" t="s">
        <v>1459</v>
      </c>
      <c r="G263" s="2" t="s">
        <v>1460</v>
      </c>
      <c r="H263" s="2" t="s">
        <v>0</v>
      </c>
      <c r="I263" s="2" t="s">
        <v>1461</v>
      </c>
      <c r="J263" s="2" t="s">
        <v>1462</v>
      </c>
      <c r="K263" s="2" t="s">
        <v>41</v>
      </c>
      <c r="L263" s="2" t="s">
        <v>69</v>
      </c>
      <c r="M263" s="2">
        <v>6</v>
      </c>
      <c r="N263" s="2">
        <v>17</v>
      </c>
      <c r="O263" s="2" t="s">
        <v>43</v>
      </c>
      <c r="P263" s="2" t="s">
        <v>44</v>
      </c>
      <c r="Q263" s="2">
        <v>3</v>
      </c>
      <c r="R263" s="2">
        <v>2</v>
      </c>
      <c r="S263" s="2">
        <v>1</v>
      </c>
      <c r="T263" s="2">
        <v>2</v>
      </c>
      <c r="U263" s="2">
        <v>0</v>
      </c>
      <c r="V263" s="2" t="s">
        <v>45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 t="s">
        <v>0</v>
      </c>
      <c r="AD263" s="2">
        <v>1</v>
      </c>
      <c r="AE263" s="2" t="s">
        <v>46</v>
      </c>
    </row>
    <row r="264" spans="1:31" ht="25.5" x14ac:dyDescent="0.2">
      <c r="A264" s="5" t="str">
        <f>HYPERLINK("http://www.patentics.cn/invokexml.do?sf=ShowPatent&amp;spn=CN201672642&amp;sv=a7257621457b50cccd31ebb728d059c3","CN201672642")</f>
        <v>CN201672642</v>
      </c>
      <c r="B264" s="3" t="s">
        <v>1463</v>
      </c>
      <c r="C264" s="3" t="s">
        <v>1464</v>
      </c>
      <c r="D264" s="3" t="s">
        <v>49</v>
      </c>
      <c r="E264" s="3" t="s">
        <v>50</v>
      </c>
      <c r="F264" s="3" t="s">
        <v>880</v>
      </c>
      <c r="G264" s="3" t="s">
        <v>880</v>
      </c>
      <c r="H264" s="3" t="s">
        <v>0</v>
      </c>
      <c r="I264" s="3" t="s">
        <v>1465</v>
      </c>
      <c r="J264" s="3" t="s">
        <v>68</v>
      </c>
      <c r="K264" s="3" t="s">
        <v>41</v>
      </c>
      <c r="L264" s="3" t="s">
        <v>1357</v>
      </c>
      <c r="M264" s="3">
        <v>9</v>
      </c>
      <c r="N264" s="3">
        <v>21</v>
      </c>
      <c r="O264" s="3" t="s">
        <v>55</v>
      </c>
      <c r="P264" s="3" t="s">
        <v>44</v>
      </c>
      <c r="Q264" s="3">
        <v>0</v>
      </c>
      <c r="R264" s="3">
        <v>0</v>
      </c>
      <c r="S264" s="3">
        <v>0</v>
      </c>
      <c r="T264" s="3">
        <v>0</v>
      </c>
      <c r="U264" s="3">
        <v>8</v>
      </c>
      <c r="V264" s="3" t="s">
        <v>1466</v>
      </c>
      <c r="W264" s="3">
        <v>7</v>
      </c>
      <c r="X264" s="3">
        <v>1</v>
      </c>
      <c r="Y264" s="3">
        <v>2</v>
      </c>
      <c r="Z264" s="3">
        <v>2</v>
      </c>
      <c r="AA264" s="3">
        <v>0</v>
      </c>
      <c r="AB264" s="3">
        <v>0</v>
      </c>
      <c r="AC264" s="3">
        <v>12</v>
      </c>
      <c r="AD264" s="3" t="s">
        <v>0</v>
      </c>
      <c r="AE264" s="3" t="s">
        <v>46</v>
      </c>
    </row>
    <row r="265" spans="1:31" ht="51" x14ac:dyDescent="0.2">
      <c r="A265" s="4" t="str">
        <f>HYPERLINK("http://www.patentics.cn/invokexml.do?sf=ShowPatent&amp;spn=CN101917054B&amp;sv=63eb5e9ad02b203ada3c4e6fca1a664d","CN101917054B")</f>
        <v>CN101917054B</v>
      </c>
      <c r="B265" s="2" t="s">
        <v>1467</v>
      </c>
      <c r="C265" s="2" t="s">
        <v>1468</v>
      </c>
      <c r="D265" s="2" t="s">
        <v>79</v>
      </c>
      <c r="E265" s="2" t="s">
        <v>36</v>
      </c>
      <c r="F265" s="2" t="s">
        <v>1469</v>
      </c>
      <c r="G265" s="2" t="s">
        <v>1470</v>
      </c>
      <c r="H265" s="2" t="s">
        <v>618</v>
      </c>
      <c r="I265" s="2" t="s">
        <v>1471</v>
      </c>
      <c r="J265" s="2" t="s">
        <v>1472</v>
      </c>
      <c r="K265" s="2" t="s">
        <v>1473</v>
      </c>
      <c r="L265" s="2" t="s">
        <v>1474</v>
      </c>
      <c r="M265" s="2">
        <v>3</v>
      </c>
      <c r="N265" s="2">
        <v>54</v>
      </c>
      <c r="O265" s="2" t="s">
        <v>43</v>
      </c>
      <c r="P265" s="2" t="s">
        <v>44</v>
      </c>
      <c r="Q265" s="2">
        <v>3</v>
      </c>
      <c r="R265" s="2">
        <v>0</v>
      </c>
      <c r="S265" s="2">
        <v>3</v>
      </c>
      <c r="T265" s="2">
        <v>3</v>
      </c>
      <c r="U265" s="2">
        <v>0</v>
      </c>
      <c r="V265" s="2" t="s">
        <v>45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 t="s">
        <v>0</v>
      </c>
      <c r="AD265" s="2">
        <v>1</v>
      </c>
      <c r="AE265" s="2" t="s">
        <v>46</v>
      </c>
    </row>
    <row r="266" spans="1:31" ht="38.25" x14ac:dyDescent="0.2">
      <c r="A266" s="5" t="str">
        <f>HYPERLINK("http://www.patentics.cn/invokexml.do?sf=ShowPatent&amp;spn=CN101464032&amp;sv=efcd675075a0d3b4862927b28011c077","CN101464032")</f>
        <v>CN101464032</v>
      </c>
      <c r="B266" s="3" t="s">
        <v>540</v>
      </c>
      <c r="C266" s="3" t="s">
        <v>541</v>
      </c>
      <c r="D266" s="3" t="s">
        <v>49</v>
      </c>
      <c r="E266" s="3" t="s">
        <v>50</v>
      </c>
      <c r="F266" s="3" t="s">
        <v>542</v>
      </c>
      <c r="G266" s="3" t="s">
        <v>543</v>
      </c>
      <c r="H266" s="3" t="s">
        <v>544</v>
      </c>
      <c r="I266" s="3" t="s">
        <v>544</v>
      </c>
      <c r="J266" s="3" t="s">
        <v>545</v>
      </c>
      <c r="K266" s="3" t="s">
        <v>41</v>
      </c>
      <c r="L266" s="3" t="s">
        <v>84</v>
      </c>
      <c r="M266" s="3">
        <v>16</v>
      </c>
      <c r="N266" s="3">
        <v>29</v>
      </c>
      <c r="O266" s="3" t="s">
        <v>75</v>
      </c>
      <c r="P266" s="3" t="s">
        <v>44</v>
      </c>
      <c r="Q266" s="3">
        <v>0</v>
      </c>
      <c r="R266" s="3">
        <v>0</v>
      </c>
      <c r="S266" s="3">
        <v>0</v>
      </c>
      <c r="T266" s="3">
        <v>0</v>
      </c>
      <c r="U266" s="3">
        <v>15</v>
      </c>
      <c r="V266" s="3" t="s">
        <v>546</v>
      </c>
      <c r="W266" s="3">
        <v>0</v>
      </c>
      <c r="X266" s="3">
        <v>15</v>
      </c>
      <c r="Y266" s="3">
        <v>5</v>
      </c>
      <c r="Z266" s="3">
        <v>2</v>
      </c>
      <c r="AA266" s="3">
        <v>1</v>
      </c>
      <c r="AB266" s="3">
        <v>1</v>
      </c>
      <c r="AC266" s="3">
        <v>12</v>
      </c>
      <c r="AD266" s="3" t="s">
        <v>0</v>
      </c>
      <c r="AE266" s="3" t="s">
        <v>46</v>
      </c>
    </row>
    <row r="267" spans="1:31" ht="25.5" x14ac:dyDescent="0.2">
      <c r="A267" s="4" t="str">
        <f>HYPERLINK("http://www.patentics.cn/invokexml.do?sf=ShowPatent&amp;spn=CN103573074B&amp;sv=17bdd3335cb48866ba2571be1e5a1249","CN103573074B")</f>
        <v>CN103573074B</v>
      </c>
      <c r="B267" s="2" t="s">
        <v>1475</v>
      </c>
      <c r="C267" s="2" t="s">
        <v>1476</v>
      </c>
      <c r="D267" s="2" t="s">
        <v>1215</v>
      </c>
      <c r="E267" s="2" t="s">
        <v>36</v>
      </c>
      <c r="F267" s="2" t="s">
        <v>1477</v>
      </c>
      <c r="G267" s="2" t="s">
        <v>1478</v>
      </c>
      <c r="H267" s="2" t="s">
        <v>0</v>
      </c>
      <c r="I267" s="2" t="s">
        <v>1479</v>
      </c>
      <c r="J267" s="2" t="s">
        <v>650</v>
      </c>
      <c r="K267" s="2" t="s">
        <v>1480</v>
      </c>
      <c r="L267" s="2" t="s">
        <v>1481</v>
      </c>
      <c r="M267" s="2">
        <v>12</v>
      </c>
      <c r="N267" s="2">
        <v>11</v>
      </c>
      <c r="O267" s="2" t="s">
        <v>43</v>
      </c>
      <c r="P267" s="2" t="s">
        <v>44</v>
      </c>
      <c r="Q267" s="2">
        <v>8</v>
      </c>
      <c r="R267" s="2">
        <v>2</v>
      </c>
      <c r="S267" s="2">
        <v>6</v>
      </c>
      <c r="T267" s="2">
        <v>5</v>
      </c>
      <c r="U267" s="2">
        <v>0</v>
      </c>
      <c r="V267" s="2" t="s">
        <v>45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 t="s">
        <v>0</v>
      </c>
      <c r="AD267" s="2">
        <v>1</v>
      </c>
      <c r="AE267" s="2" t="s">
        <v>46</v>
      </c>
    </row>
    <row r="268" spans="1:31" ht="25.5" x14ac:dyDescent="0.2">
      <c r="A268" s="5" t="str">
        <f>HYPERLINK("http://www.patentics.cn/invokexml.do?sf=ShowPatent&amp;spn=CN202559929&amp;sv=504f96581ed012de452a88f4ec5aa7e4","CN202559929")</f>
        <v>CN202559929</v>
      </c>
      <c r="B268" s="3" t="s">
        <v>1482</v>
      </c>
      <c r="C268" s="3" t="s">
        <v>1483</v>
      </c>
      <c r="D268" s="3" t="s">
        <v>49</v>
      </c>
      <c r="E268" s="3" t="s">
        <v>50</v>
      </c>
      <c r="F268" s="3" t="s">
        <v>1484</v>
      </c>
      <c r="G268" s="3" t="s">
        <v>1485</v>
      </c>
      <c r="H268" s="3" t="s">
        <v>0</v>
      </c>
      <c r="I268" s="3" t="s">
        <v>1486</v>
      </c>
      <c r="J268" s="3" t="s">
        <v>1273</v>
      </c>
      <c r="K268" s="3" t="s">
        <v>1480</v>
      </c>
      <c r="L268" s="3" t="s">
        <v>1487</v>
      </c>
      <c r="M268" s="3">
        <v>8</v>
      </c>
      <c r="N268" s="3">
        <v>6</v>
      </c>
      <c r="O268" s="3" t="s">
        <v>55</v>
      </c>
      <c r="P268" s="3" t="s">
        <v>44</v>
      </c>
      <c r="Q268" s="3">
        <v>0</v>
      </c>
      <c r="R268" s="3">
        <v>0</v>
      </c>
      <c r="S268" s="3">
        <v>0</v>
      </c>
      <c r="T268" s="3">
        <v>0</v>
      </c>
      <c r="U268" s="3">
        <v>2</v>
      </c>
      <c r="V268" s="3" t="s">
        <v>203</v>
      </c>
      <c r="W268" s="3">
        <v>1</v>
      </c>
      <c r="X268" s="3">
        <v>1</v>
      </c>
      <c r="Y268" s="3">
        <v>2</v>
      </c>
      <c r="Z268" s="3">
        <v>1</v>
      </c>
      <c r="AA268" s="3">
        <v>0</v>
      </c>
      <c r="AB268" s="3">
        <v>0</v>
      </c>
      <c r="AC268" s="3">
        <v>12</v>
      </c>
      <c r="AD268" s="3" t="s">
        <v>0</v>
      </c>
      <c r="AE268" s="3" t="s">
        <v>57</v>
      </c>
    </row>
    <row r="269" spans="1:31" ht="51" x14ac:dyDescent="0.2">
      <c r="A269" s="4" t="str">
        <f>HYPERLINK("http://www.patentics.cn/invokexml.do?sf=ShowPatent&amp;spn=CN103256658B&amp;sv=3de4f7f695829bac5f53bb9ecd81c1a4","CN103256658B")</f>
        <v>CN103256658B</v>
      </c>
      <c r="B269" s="2" t="s">
        <v>1488</v>
      </c>
      <c r="C269" s="2" t="s">
        <v>1489</v>
      </c>
      <c r="D269" s="2" t="s">
        <v>35</v>
      </c>
      <c r="E269" s="2" t="s">
        <v>36</v>
      </c>
      <c r="F269" s="2" t="s">
        <v>1490</v>
      </c>
      <c r="G269" s="2" t="s">
        <v>330</v>
      </c>
      <c r="H269" s="2" t="s">
        <v>0</v>
      </c>
      <c r="I269" s="2" t="s">
        <v>1491</v>
      </c>
      <c r="J269" s="2" t="s">
        <v>1492</v>
      </c>
      <c r="K269" s="2" t="s">
        <v>41</v>
      </c>
      <c r="L269" s="2" t="s">
        <v>42</v>
      </c>
      <c r="M269" s="2">
        <v>13</v>
      </c>
      <c r="N269" s="2">
        <v>13</v>
      </c>
      <c r="O269" s="2" t="s">
        <v>43</v>
      </c>
      <c r="P269" s="2" t="s">
        <v>44</v>
      </c>
      <c r="Q269" s="2">
        <v>5</v>
      </c>
      <c r="R269" s="2">
        <v>2</v>
      </c>
      <c r="S269" s="2">
        <v>3</v>
      </c>
      <c r="T269" s="2">
        <v>4</v>
      </c>
      <c r="U269" s="2">
        <v>0</v>
      </c>
      <c r="V269" s="2" t="s">
        <v>45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 t="s">
        <v>0</v>
      </c>
      <c r="AD269" s="2">
        <v>1</v>
      </c>
      <c r="AE269" s="2" t="s">
        <v>46</v>
      </c>
    </row>
    <row r="270" spans="1:31" ht="51" x14ac:dyDescent="0.2">
      <c r="A270" s="5" t="str">
        <f>HYPERLINK("http://www.patentics.cn/invokexml.do?sf=ShowPatent&amp;spn=CN201787673&amp;sv=58577baee51835b06342dac3a8768f44","CN201787673")</f>
        <v>CN201787673</v>
      </c>
      <c r="B270" s="3" t="s">
        <v>1493</v>
      </c>
      <c r="C270" s="3" t="s">
        <v>1494</v>
      </c>
      <c r="D270" s="3" t="s">
        <v>49</v>
      </c>
      <c r="E270" s="3" t="s">
        <v>50</v>
      </c>
      <c r="F270" s="3" t="s">
        <v>1495</v>
      </c>
      <c r="G270" s="3" t="s">
        <v>52</v>
      </c>
      <c r="H270" s="3" t="s">
        <v>0</v>
      </c>
      <c r="I270" s="3" t="s">
        <v>1496</v>
      </c>
      <c r="J270" s="3" t="s">
        <v>412</v>
      </c>
      <c r="K270" s="3" t="s">
        <v>41</v>
      </c>
      <c r="L270" s="3" t="s">
        <v>42</v>
      </c>
      <c r="M270" s="3">
        <v>6</v>
      </c>
      <c r="N270" s="3">
        <v>8</v>
      </c>
      <c r="O270" s="3" t="s">
        <v>55</v>
      </c>
      <c r="P270" s="3" t="s">
        <v>44</v>
      </c>
      <c r="Q270" s="3">
        <v>0</v>
      </c>
      <c r="R270" s="3">
        <v>0</v>
      </c>
      <c r="S270" s="3">
        <v>0</v>
      </c>
      <c r="T270" s="3">
        <v>0</v>
      </c>
      <c r="U270" s="3">
        <v>2</v>
      </c>
      <c r="V270" s="3" t="s">
        <v>1456</v>
      </c>
      <c r="W270" s="3">
        <v>0</v>
      </c>
      <c r="X270" s="3">
        <v>2</v>
      </c>
      <c r="Y270" s="3">
        <v>2</v>
      </c>
      <c r="Z270" s="3">
        <v>1</v>
      </c>
      <c r="AA270" s="3">
        <v>0</v>
      </c>
      <c r="AB270" s="3">
        <v>0</v>
      </c>
      <c r="AC270" s="3">
        <v>12</v>
      </c>
      <c r="AD270" s="3" t="s">
        <v>0</v>
      </c>
      <c r="AE270" s="3" t="s">
        <v>46</v>
      </c>
    </row>
    <row r="271" spans="1:31" ht="25.5" x14ac:dyDescent="0.2">
      <c r="A271" s="4" t="str">
        <f>HYPERLINK("http://www.patentics.cn/invokexml.do?sf=ShowPatent&amp;spn=CN103573624B&amp;sv=e7a43584303b2ba0ce1b19f41ca04e9d","CN103573624B")</f>
        <v>CN103573624B</v>
      </c>
      <c r="B271" s="2" t="s">
        <v>1497</v>
      </c>
      <c r="C271" s="2" t="s">
        <v>1498</v>
      </c>
      <c r="D271" s="2" t="s">
        <v>180</v>
      </c>
      <c r="E271" s="2" t="s">
        <v>36</v>
      </c>
      <c r="F271" s="2" t="s">
        <v>1499</v>
      </c>
      <c r="G271" s="2" t="s">
        <v>513</v>
      </c>
      <c r="H271" s="2" t="s">
        <v>0</v>
      </c>
      <c r="I271" s="2" t="s">
        <v>294</v>
      </c>
      <c r="J271" s="2" t="s">
        <v>1500</v>
      </c>
      <c r="K271" s="2" t="s">
        <v>185</v>
      </c>
      <c r="L271" s="2" t="s">
        <v>216</v>
      </c>
      <c r="M271" s="2">
        <v>9</v>
      </c>
      <c r="N271" s="2">
        <v>28</v>
      </c>
      <c r="O271" s="2" t="s">
        <v>43</v>
      </c>
      <c r="P271" s="2" t="s">
        <v>44</v>
      </c>
      <c r="Q271" s="2">
        <v>5</v>
      </c>
      <c r="R271" s="2">
        <v>0</v>
      </c>
      <c r="S271" s="2">
        <v>5</v>
      </c>
      <c r="T271" s="2">
        <v>4</v>
      </c>
      <c r="U271" s="2">
        <v>0</v>
      </c>
      <c r="V271" s="2" t="s">
        <v>45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 t="s">
        <v>0</v>
      </c>
      <c r="AD271" s="2">
        <v>1</v>
      </c>
      <c r="AE271" s="2" t="s">
        <v>46</v>
      </c>
    </row>
    <row r="272" spans="1:31" ht="38.25" x14ac:dyDescent="0.2">
      <c r="A272" s="5" t="str">
        <f>HYPERLINK("http://www.patentics.cn/invokexml.do?sf=ShowPatent&amp;spn=CN203146331&amp;sv=69dd70548a92192164f7e740df7a81bc","CN203146331")</f>
        <v>CN203146331</v>
      </c>
      <c r="B272" s="3" t="s">
        <v>1169</v>
      </c>
      <c r="C272" s="3" t="s">
        <v>1170</v>
      </c>
      <c r="D272" s="3" t="s">
        <v>189</v>
      </c>
      <c r="E272" s="3" t="s">
        <v>190</v>
      </c>
      <c r="F272" s="3" t="s">
        <v>1171</v>
      </c>
      <c r="G272" s="3" t="s">
        <v>1172</v>
      </c>
      <c r="H272" s="3" t="s">
        <v>0</v>
      </c>
      <c r="I272" s="3" t="s">
        <v>1173</v>
      </c>
      <c r="J272" s="3" t="s">
        <v>1174</v>
      </c>
      <c r="K272" s="3" t="s">
        <v>185</v>
      </c>
      <c r="L272" s="3" t="s">
        <v>1175</v>
      </c>
      <c r="M272" s="3">
        <v>4</v>
      </c>
      <c r="N272" s="3">
        <v>48</v>
      </c>
      <c r="O272" s="3" t="s">
        <v>55</v>
      </c>
      <c r="P272" s="3" t="s">
        <v>44</v>
      </c>
      <c r="Q272" s="3">
        <v>0</v>
      </c>
      <c r="R272" s="3">
        <v>0</v>
      </c>
      <c r="S272" s="3">
        <v>0</v>
      </c>
      <c r="T272" s="3">
        <v>0</v>
      </c>
      <c r="U272" s="3">
        <v>2</v>
      </c>
      <c r="V272" s="3" t="s">
        <v>374</v>
      </c>
      <c r="W272" s="3">
        <v>0</v>
      </c>
      <c r="X272" s="3">
        <v>2</v>
      </c>
      <c r="Y272" s="3">
        <v>1</v>
      </c>
      <c r="Z272" s="3">
        <v>1</v>
      </c>
      <c r="AA272" s="3">
        <v>0</v>
      </c>
      <c r="AB272" s="3">
        <v>0</v>
      </c>
      <c r="AC272" s="3">
        <v>12</v>
      </c>
      <c r="AD272" s="3" t="s">
        <v>0</v>
      </c>
      <c r="AE272" s="3" t="s">
        <v>46</v>
      </c>
    </row>
    <row r="273" spans="1:31" ht="51" x14ac:dyDescent="0.2">
      <c r="A273" s="4" t="str">
        <f>HYPERLINK("http://www.patentics.cn/invokexml.do?sf=ShowPatent&amp;spn=CN102798256B&amp;sv=9008c166730ed7706c365840a04021ce","CN102798256B")</f>
        <v>CN102798256B</v>
      </c>
      <c r="B273" s="2" t="s">
        <v>1501</v>
      </c>
      <c r="C273" s="2" t="s">
        <v>1502</v>
      </c>
      <c r="D273" s="2" t="s">
        <v>1503</v>
      </c>
      <c r="E273" s="2" t="s">
        <v>36</v>
      </c>
      <c r="F273" s="2" t="s">
        <v>1504</v>
      </c>
      <c r="G273" s="2" t="s">
        <v>1505</v>
      </c>
      <c r="H273" s="2" t="s">
        <v>0</v>
      </c>
      <c r="I273" s="2" t="s">
        <v>1339</v>
      </c>
      <c r="J273" s="2" t="s">
        <v>1506</v>
      </c>
      <c r="K273" s="2" t="s">
        <v>347</v>
      </c>
      <c r="L273" s="2" t="s">
        <v>1507</v>
      </c>
      <c r="M273" s="2">
        <v>1</v>
      </c>
      <c r="N273" s="2">
        <v>19</v>
      </c>
      <c r="O273" s="2" t="s">
        <v>43</v>
      </c>
      <c r="P273" s="2" t="s">
        <v>44</v>
      </c>
      <c r="Q273" s="2">
        <v>4</v>
      </c>
      <c r="R273" s="2">
        <v>0</v>
      </c>
      <c r="S273" s="2">
        <v>4</v>
      </c>
      <c r="T273" s="2">
        <v>4</v>
      </c>
      <c r="U273" s="2">
        <v>0</v>
      </c>
      <c r="V273" s="2" t="s">
        <v>45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 t="s">
        <v>0</v>
      </c>
      <c r="AD273" s="2">
        <v>1</v>
      </c>
      <c r="AE273" s="2" t="s">
        <v>46</v>
      </c>
    </row>
    <row r="274" spans="1:31" ht="51" x14ac:dyDescent="0.2">
      <c r="A274" s="5" t="str">
        <f>HYPERLINK("http://www.patentics.cn/invokexml.do?sf=ShowPatent&amp;spn=CN101131246&amp;sv=091c8ad7f6b678966c0c9e643f7eb5c5","CN101131246")</f>
        <v>CN101131246</v>
      </c>
      <c r="B274" s="3" t="s">
        <v>1508</v>
      </c>
      <c r="C274" s="3" t="s">
        <v>1509</v>
      </c>
      <c r="D274" s="3" t="s">
        <v>49</v>
      </c>
      <c r="E274" s="3" t="s">
        <v>50</v>
      </c>
      <c r="F274" s="3" t="s">
        <v>1510</v>
      </c>
      <c r="G274" s="3" t="s">
        <v>1511</v>
      </c>
      <c r="H274" s="3" t="s">
        <v>0</v>
      </c>
      <c r="I274" s="3" t="s">
        <v>1512</v>
      </c>
      <c r="J274" s="3" t="s">
        <v>1513</v>
      </c>
      <c r="K274" s="3" t="s">
        <v>41</v>
      </c>
      <c r="L274" s="3" t="s">
        <v>42</v>
      </c>
      <c r="M274" s="3">
        <v>11</v>
      </c>
      <c r="N274" s="3">
        <v>18</v>
      </c>
      <c r="O274" s="3" t="s">
        <v>75</v>
      </c>
      <c r="P274" s="3" t="s">
        <v>44</v>
      </c>
      <c r="Q274" s="3">
        <v>1</v>
      </c>
      <c r="R274" s="3">
        <v>0</v>
      </c>
      <c r="S274" s="3">
        <v>1</v>
      </c>
      <c r="T274" s="3">
        <v>1</v>
      </c>
      <c r="U274" s="3">
        <v>2</v>
      </c>
      <c r="V274" s="3" t="s">
        <v>398</v>
      </c>
      <c r="W274" s="3">
        <v>0</v>
      </c>
      <c r="X274" s="3">
        <v>2</v>
      </c>
      <c r="Y274" s="3">
        <v>2</v>
      </c>
      <c r="Z274" s="3">
        <v>1</v>
      </c>
      <c r="AA274" s="3">
        <v>0</v>
      </c>
      <c r="AB274" s="3">
        <v>0</v>
      </c>
      <c r="AC274" s="3">
        <v>12</v>
      </c>
      <c r="AD274" s="3" t="s">
        <v>0</v>
      </c>
      <c r="AE274" s="3" t="s">
        <v>100</v>
      </c>
    </row>
    <row r="275" spans="1:31" ht="38.25" x14ac:dyDescent="0.2">
      <c r="A275" s="4" t="str">
        <f>HYPERLINK("http://www.patentics.cn/invokexml.do?sf=ShowPatent&amp;spn=CN102997505B&amp;sv=2d6dba5e8e5716f9385425b244605ac9","CN102997505B")</f>
        <v>CN102997505B</v>
      </c>
      <c r="B275" s="2" t="s">
        <v>1514</v>
      </c>
      <c r="C275" s="2" t="s">
        <v>1515</v>
      </c>
      <c r="D275" s="2" t="s">
        <v>1516</v>
      </c>
      <c r="E275" s="2" t="s">
        <v>624</v>
      </c>
      <c r="F275" s="2" t="s">
        <v>1517</v>
      </c>
      <c r="G275" s="2" t="s">
        <v>1517</v>
      </c>
      <c r="H275" s="2" t="s">
        <v>0</v>
      </c>
      <c r="I275" s="2" t="s">
        <v>1461</v>
      </c>
      <c r="J275" s="2" t="s">
        <v>447</v>
      </c>
      <c r="K275" s="2" t="s">
        <v>347</v>
      </c>
      <c r="L275" s="2" t="s">
        <v>1518</v>
      </c>
      <c r="M275" s="2">
        <v>9</v>
      </c>
      <c r="N275" s="2">
        <v>24</v>
      </c>
      <c r="O275" s="2" t="s">
        <v>43</v>
      </c>
      <c r="P275" s="2" t="s">
        <v>44</v>
      </c>
      <c r="Q275" s="2">
        <v>6</v>
      </c>
      <c r="R275" s="2">
        <v>0</v>
      </c>
      <c r="S275" s="2">
        <v>6</v>
      </c>
      <c r="T275" s="2">
        <v>6</v>
      </c>
      <c r="U275" s="2">
        <v>0</v>
      </c>
      <c r="V275" s="2" t="s">
        <v>45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 t="s">
        <v>0</v>
      </c>
      <c r="AD275" s="2">
        <v>1</v>
      </c>
      <c r="AE275" s="2" t="s">
        <v>46</v>
      </c>
    </row>
    <row r="276" spans="1:31" ht="63.75" x14ac:dyDescent="0.2">
      <c r="A276" s="5" t="str">
        <f>HYPERLINK("http://www.patentics.cn/invokexml.do?sf=ShowPatent&amp;spn=CN201373627&amp;sv=10d8c4fc51671aa4f3b2eb843bd710f3","CN201373627")</f>
        <v>CN201373627</v>
      </c>
      <c r="B276" s="3" t="s">
        <v>1519</v>
      </c>
      <c r="C276" s="3" t="s">
        <v>1520</v>
      </c>
      <c r="D276" s="3" t="s">
        <v>49</v>
      </c>
      <c r="E276" s="3" t="s">
        <v>50</v>
      </c>
      <c r="F276" s="3" t="s">
        <v>1521</v>
      </c>
      <c r="G276" s="3" t="s">
        <v>1522</v>
      </c>
      <c r="H276" s="3" t="s">
        <v>0</v>
      </c>
      <c r="I276" s="3" t="s">
        <v>1523</v>
      </c>
      <c r="J276" s="3" t="s">
        <v>1524</v>
      </c>
      <c r="K276" s="3" t="s">
        <v>347</v>
      </c>
      <c r="L276" s="3" t="s">
        <v>1011</v>
      </c>
      <c r="M276" s="3">
        <v>7</v>
      </c>
      <c r="N276" s="3">
        <v>14</v>
      </c>
      <c r="O276" s="3" t="s">
        <v>55</v>
      </c>
      <c r="P276" s="3" t="s">
        <v>44</v>
      </c>
      <c r="Q276" s="3">
        <v>0</v>
      </c>
      <c r="R276" s="3">
        <v>0</v>
      </c>
      <c r="S276" s="3">
        <v>0</v>
      </c>
      <c r="T276" s="3">
        <v>0</v>
      </c>
      <c r="U276" s="3">
        <v>1</v>
      </c>
      <c r="V276" s="3" t="s">
        <v>339</v>
      </c>
      <c r="W276" s="3">
        <v>0</v>
      </c>
      <c r="X276" s="3">
        <v>1</v>
      </c>
      <c r="Y276" s="3">
        <v>1</v>
      </c>
      <c r="Z276" s="3">
        <v>1</v>
      </c>
      <c r="AA276" s="3">
        <v>0</v>
      </c>
      <c r="AB276" s="3">
        <v>0</v>
      </c>
      <c r="AC276" s="3">
        <v>12</v>
      </c>
      <c r="AD276" s="3" t="s">
        <v>0</v>
      </c>
      <c r="AE276" s="3" t="s">
        <v>46</v>
      </c>
    </row>
    <row r="277" spans="1:31" ht="38.25" x14ac:dyDescent="0.2">
      <c r="A277" s="4" t="str">
        <f>HYPERLINK("http://www.patentics.cn/invokexml.do?sf=ShowPatent&amp;spn=CN102727102B&amp;sv=c2b26d568ec2fb570427d1f1255591d7","CN102727102B")</f>
        <v>CN102727102B</v>
      </c>
      <c r="B277" s="2" t="s">
        <v>1525</v>
      </c>
      <c r="C277" s="2" t="s">
        <v>1526</v>
      </c>
      <c r="D277" s="2" t="s">
        <v>79</v>
      </c>
      <c r="E277" s="2" t="s">
        <v>36</v>
      </c>
      <c r="F277" s="2" t="s">
        <v>1527</v>
      </c>
      <c r="G277" s="2" t="s">
        <v>1528</v>
      </c>
      <c r="H277" s="2" t="s">
        <v>0</v>
      </c>
      <c r="I277" s="2" t="s">
        <v>552</v>
      </c>
      <c r="J277" s="2" t="s">
        <v>1529</v>
      </c>
      <c r="K277" s="2" t="s">
        <v>804</v>
      </c>
      <c r="L277" s="2" t="s">
        <v>1530</v>
      </c>
      <c r="M277" s="2">
        <v>4</v>
      </c>
      <c r="N277" s="2">
        <v>23</v>
      </c>
      <c r="O277" s="2" t="s">
        <v>43</v>
      </c>
      <c r="P277" s="2" t="s">
        <v>44</v>
      </c>
      <c r="Q277" s="2">
        <v>4</v>
      </c>
      <c r="R277" s="2">
        <v>2</v>
      </c>
      <c r="S277" s="2">
        <v>2</v>
      </c>
      <c r="T277" s="2">
        <v>3</v>
      </c>
      <c r="U277" s="2">
        <v>0</v>
      </c>
      <c r="V277" s="2" t="s">
        <v>45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 t="s">
        <v>0</v>
      </c>
      <c r="AD277" s="2">
        <v>1</v>
      </c>
      <c r="AE277" s="2" t="s">
        <v>46</v>
      </c>
    </row>
    <row r="278" spans="1:31" ht="51" x14ac:dyDescent="0.2">
      <c r="A278" s="5" t="str">
        <f>HYPERLINK("http://www.patentics.cn/invokexml.do?sf=ShowPatent&amp;spn=CN102440679&amp;sv=d324298e0237047586860bd202e40e7c","CN102440679")</f>
        <v>CN102440679</v>
      </c>
      <c r="B278" s="3" t="s">
        <v>1531</v>
      </c>
      <c r="C278" s="3" t="s">
        <v>1532</v>
      </c>
      <c r="D278" s="3" t="s">
        <v>49</v>
      </c>
      <c r="E278" s="3" t="s">
        <v>50</v>
      </c>
      <c r="F278" s="3" t="s">
        <v>1533</v>
      </c>
      <c r="G278" s="3" t="s">
        <v>968</v>
      </c>
      <c r="H278" s="3" t="s">
        <v>1534</v>
      </c>
      <c r="I278" s="3" t="s">
        <v>1534</v>
      </c>
      <c r="J278" s="3" t="s">
        <v>1535</v>
      </c>
      <c r="K278" s="3" t="s">
        <v>804</v>
      </c>
      <c r="L278" s="3" t="s">
        <v>1152</v>
      </c>
      <c r="M278" s="3">
        <v>12</v>
      </c>
      <c r="N278" s="3">
        <v>26</v>
      </c>
      <c r="O278" s="3" t="s">
        <v>75</v>
      </c>
      <c r="P278" s="3" t="s">
        <v>44</v>
      </c>
      <c r="Q278" s="3">
        <v>0</v>
      </c>
      <c r="R278" s="3">
        <v>0</v>
      </c>
      <c r="S278" s="3">
        <v>0</v>
      </c>
      <c r="T278" s="3">
        <v>0</v>
      </c>
      <c r="U278" s="3">
        <v>1</v>
      </c>
      <c r="V278" s="3" t="s">
        <v>284</v>
      </c>
      <c r="W278" s="3">
        <v>0</v>
      </c>
      <c r="X278" s="3">
        <v>1</v>
      </c>
      <c r="Y278" s="3">
        <v>1</v>
      </c>
      <c r="Z278" s="3">
        <v>1</v>
      </c>
      <c r="AA278" s="3">
        <v>1</v>
      </c>
      <c r="AB278" s="3">
        <v>1</v>
      </c>
      <c r="AC278" s="3">
        <v>12</v>
      </c>
      <c r="AD278" s="3" t="s">
        <v>0</v>
      </c>
      <c r="AE278" s="3" t="s">
        <v>46</v>
      </c>
    </row>
    <row r="279" spans="1:31" ht="51" x14ac:dyDescent="0.2">
      <c r="A279" s="4" t="str">
        <f>HYPERLINK("http://www.patentics.cn/invokexml.do?sf=ShowPatent&amp;spn=CN102619771B&amp;sv=ee6af1d7df799bfd79a7402ed8dd8114","CN102619771B")</f>
        <v>CN102619771B</v>
      </c>
      <c r="B279" s="2" t="s">
        <v>1536</v>
      </c>
      <c r="C279" s="2" t="s">
        <v>1537</v>
      </c>
      <c r="D279" s="2" t="s">
        <v>79</v>
      </c>
      <c r="E279" s="2" t="s">
        <v>36</v>
      </c>
      <c r="F279" s="2" t="s">
        <v>1538</v>
      </c>
      <c r="G279" s="2" t="s">
        <v>1539</v>
      </c>
      <c r="H279" s="2" t="s">
        <v>0</v>
      </c>
      <c r="I279" s="2" t="s">
        <v>1540</v>
      </c>
      <c r="J279" s="2" t="s">
        <v>1541</v>
      </c>
      <c r="K279" s="2" t="s">
        <v>789</v>
      </c>
      <c r="L279" s="2" t="s">
        <v>790</v>
      </c>
      <c r="M279" s="2">
        <v>6</v>
      </c>
      <c r="N279" s="2">
        <v>33</v>
      </c>
      <c r="O279" s="2" t="s">
        <v>43</v>
      </c>
      <c r="P279" s="2" t="s">
        <v>44</v>
      </c>
      <c r="Q279" s="2">
        <v>9</v>
      </c>
      <c r="R279" s="2">
        <v>0</v>
      </c>
      <c r="S279" s="2">
        <v>9</v>
      </c>
      <c r="T279" s="2">
        <v>9</v>
      </c>
      <c r="U279" s="2">
        <v>0</v>
      </c>
      <c r="V279" s="2" t="s">
        <v>45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 t="s">
        <v>0</v>
      </c>
      <c r="AD279" s="2">
        <v>1</v>
      </c>
      <c r="AE279" s="2" t="s">
        <v>46</v>
      </c>
    </row>
    <row r="280" spans="1:31" ht="51" x14ac:dyDescent="0.2">
      <c r="A280" s="5" t="str">
        <f>HYPERLINK("http://www.patentics.cn/invokexml.do?sf=ShowPatent&amp;spn=CN101266069&amp;sv=dc22b09821586a77ccdcbbb3399d12db","CN101266069")</f>
        <v>CN101266069</v>
      </c>
      <c r="B280" s="3" t="s">
        <v>1441</v>
      </c>
      <c r="C280" s="3" t="s">
        <v>1442</v>
      </c>
      <c r="D280" s="3" t="s">
        <v>49</v>
      </c>
      <c r="E280" s="3" t="s">
        <v>50</v>
      </c>
      <c r="F280" s="3" t="s">
        <v>1443</v>
      </c>
      <c r="G280" s="3" t="s">
        <v>264</v>
      </c>
      <c r="H280" s="3" t="s">
        <v>1444</v>
      </c>
      <c r="I280" s="3" t="s">
        <v>1444</v>
      </c>
      <c r="J280" s="3" t="s">
        <v>1445</v>
      </c>
      <c r="K280" s="3" t="s">
        <v>41</v>
      </c>
      <c r="L280" s="3" t="s">
        <v>84</v>
      </c>
      <c r="M280" s="3">
        <v>5</v>
      </c>
      <c r="N280" s="3">
        <v>26</v>
      </c>
      <c r="O280" s="3" t="s">
        <v>75</v>
      </c>
      <c r="P280" s="3" t="s">
        <v>44</v>
      </c>
      <c r="Q280" s="3">
        <v>0</v>
      </c>
      <c r="R280" s="3">
        <v>0</v>
      </c>
      <c r="S280" s="3">
        <v>0</v>
      </c>
      <c r="T280" s="3">
        <v>0</v>
      </c>
      <c r="U280" s="3">
        <v>6</v>
      </c>
      <c r="V280" s="3" t="s">
        <v>776</v>
      </c>
      <c r="W280" s="3">
        <v>0</v>
      </c>
      <c r="X280" s="3">
        <v>6</v>
      </c>
      <c r="Y280" s="3">
        <v>4</v>
      </c>
      <c r="Z280" s="3">
        <v>1</v>
      </c>
      <c r="AA280" s="3">
        <v>1</v>
      </c>
      <c r="AB280" s="3">
        <v>1</v>
      </c>
      <c r="AC280" s="3">
        <v>12</v>
      </c>
      <c r="AD280" s="3" t="s">
        <v>0</v>
      </c>
      <c r="AE280" s="3" t="s">
        <v>46</v>
      </c>
    </row>
    <row r="281" spans="1:31" ht="25.5" x14ac:dyDescent="0.2">
      <c r="A281" s="4" t="str">
        <f>HYPERLINK("http://www.patentics.cn/invokexml.do?sf=ShowPatent&amp;spn=CN102817848B&amp;sv=8dbc4f1b99a904029882ef16b8367afa","CN102817848B")</f>
        <v>CN102817848B</v>
      </c>
      <c r="B281" s="2" t="s">
        <v>1542</v>
      </c>
      <c r="C281" s="2" t="s">
        <v>1543</v>
      </c>
      <c r="D281" s="2" t="s">
        <v>180</v>
      </c>
      <c r="E281" s="2" t="s">
        <v>36</v>
      </c>
      <c r="F281" s="2" t="s">
        <v>1544</v>
      </c>
      <c r="G281" s="2" t="s">
        <v>1544</v>
      </c>
      <c r="H281" s="2" t="s">
        <v>0</v>
      </c>
      <c r="I281" s="2" t="s">
        <v>243</v>
      </c>
      <c r="J281" s="2" t="s">
        <v>1541</v>
      </c>
      <c r="K281" s="2" t="s">
        <v>185</v>
      </c>
      <c r="L281" s="2" t="s">
        <v>195</v>
      </c>
      <c r="M281" s="2">
        <v>3</v>
      </c>
      <c r="N281" s="2">
        <v>21</v>
      </c>
      <c r="O281" s="2" t="s">
        <v>43</v>
      </c>
      <c r="P281" s="2" t="s">
        <v>44</v>
      </c>
      <c r="Q281" s="2">
        <v>9</v>
      </c>
      <c r="R281" s="2">
        <v>0</v>
      </c>
      <c r="S281" s="2">
        <v>9</v>
      </c>
      <c r="T281" s="2">
        <v>8</v>
      </c>
      <c r="U281" s="2">
        <v>0</v>
      </c>
      <c r="V281" s="2" t="s">
        <v>45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 t="s">
        <v>0</v>
      </c>
      <c r="AD281" s="2">
        <v>1</v>
      </c>
      <c r="AE281" s="2" t="s">
        <v>46</v>
      </c>
    </row>
    <row r="282" spans="1:31" ht="38.25" x14ac:dyDescent="0.2">
      <c r="A282" s="5" t="str">
        <f>HYPERLINK("http://www.patentics.cn/invokexml.do?sf=ShowPatent&amp;spn=CN101758220&amp;sv=58dbb42099c855295570b76127960873","CN101758220")</f>
        <v>CN101758220</v>
      </c>
      <c r="B282" s="3" t="s">
        <v>1545</v>
      </c>
      <c r="C282" s="3" t="s">
        <v>1546</v>
      </c>
      <c r="D282" s="3" t="s">
        <v>189</v>
      </c>
      <c r="E282" s="3" t="s">
        <v>190</v>
      </c>
      <c r="F282" s="3" t="s">
        <v>1547</v>
      </c>
      <c r="G282" s="3" t="s">
        <v>1548</v>
      </c>
      <c r="H282" s="3" t="s">
        <v>0</v>
      </c>
      <c r="I282" s="3" t="s">
        <v>1549</v>
      </c>
      <c r="J282" s="3" t="s">
        <v>1471</v>
      </c>
      <c r="K282" s="3" t="s">
        <v>1550</v>
      </c>
      <c r="L282" s="3" t="s">
        <v>1551</v>
      </c>
      <c r="M282" s="3">
        <v>8</v>
      </c>
      <c r="N282" s="3">
        <v>9</v>
      </c>
      <c r="O282" s="3" t="s">
        <v>75</v>
      </c>
      <c r="P282" s="3" t="s">
        <v>44</v>
      </c>
      <c r="Q282" s="3">
        <v>0</v>
      </c>
      <c r="R282" s="3">
        <v>0</v>
      </c>
      <c r="S282" s="3">
        <v>0</v>
      </c>
      <c r="T282" s="3">
        <v>0</v>
      </c>
      <c r="U282" s="3">
        <v>1</v>
      </c>
      <c r="V282" s="3" t="s">
        <v>1552</v>
      </c>
      <c r="W282" s="3">
        <v>0</v>
      </c>
      <c r="X282" s="3">
        <v>1</v>
      </c>
      <c r="Y282" s="3">
        <v>1</v>
      </c>
      <c r="Z282" s="3">
        <v>1</v>
      </c>
      <c r="AA282" s="3">
        <v>0</v>
      </c>
      <c r="AB282" s="3">
        <v>0</v>
      </c>
      <c r="AC282" s="3">
        <v>12</v>
      </c>
      <c r="AD282" s="3" t="s">
        <v>0</v>
      </c>
      <c r="AE282" s="3" t="s">
        <v>100</v>
      </c>
    </row>
    <row r="283" spans="1:31" ht="63.75" x14ac:dyDescent="0.2">
      <c r="A283" s="4" t="str">
        <f>HYPERLINK("http://www.patentics.cn/invokexml.do?sf=ShowPatent&amp;spn=CN102818406B&amp;sv=b6d9f7e285404cd24974236caaaa6265","CN102818406B")</f>
        <v>CN102818406B</v>
      </c>
      <c r="B283" s="2" t="s">
        <v>1553</v>
      </c>
      <c r="C283" s="2" t="s">
        <v>1554</v>
      </c>
      <c r="D283" s="2" t="s">
        <v>79</v>
      </c>
      <c r="E283" s="2" t="s">
        <v>36</v>
      </c>
      <c r="F283" s="2" t="s">
        <v>1555</v>
      </c>
      <c r="G283" s="2" t="s">
        <v>1556</v>
      </c>
      <c r="H283" s="2" t="s">
        <v>0</v>
      </c>
      <c r="I283" s="2" t="s">
        <v>1557</v>
      </c>
      <c r="J283" s="2" t="s">
        <v>1558</v>
      </c>
      <c r="K283" s="2" t="s">
        <v>347</v>
      </c>
      <c r="L283" s="2" t="s">
        <v>1507</v>
      </c>
      <c r="M283" s="2">
        <v>7</v>
      </c>
      <c r="N283" s="2">
        <v>19</v>
      </c>
      <c r="O283" s="2" t="s">
        <v>43</v>
      </c>
      <c r="P283" s="2" t="s">
        <v>44</v>
      </c>
      <c r="Q283" s="2">
        <v>4</v>
      </c>
      <c r="R283" s="2">
        <v>0</v>
      </c>
      <c r="S283" s="2">
        <v>4</v>
      </c>
      <c r="T283" s="2">
        <v>4</v>
      </c>
      <c r="U283" s="2">
        <v>0</v>
      </c>
      <c r="V283" s="2" t="s">
        <v>45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 t="s">
        <v>0</v>
      </c>
      <c r="AD283" s="2">
        <v>1</v>
      </c>
      <c r="AE283" s="2" t="s">
        <v>46</v>
      </c>
    </row>
    <row r="284" spans="1:31" ht="76.5" x14ac:dyDescent="0.2">
      <c r="A284" s="5" t="str">
        <f>HYPERLINK("http://www.patentics.cn/invokexml.do?sf=ShowPatent&amp;spn=CN201926224&amp;sv=0d4425ad560155b28f516e76b9135c5e","CN201926224")</f>
        <v>CN201926224</v>
      </c>
      <c r="B284" s="3" t="s">
        <v>1559</v>
      </c>
      <c r="C284" s="3" t="s">
        <v>1560</v>
      </c>
      <c r="D284" s="3" t="s">
        <v>49</v>
      </c>
      <c r="E284" s="3" t="s">
        <v>50</v>
      </c>
      <c r="F284" s="3" t="s">
        <v>1561</v>
      </c>
      <c r="G284" s="3" t="s">
        <v>1562</v>
      </c>
      <c r="H284" s="3" t="s">
        <v>0</v>
      </c>
      <c r="I284" s="3" t="s">
        <v>1563</v>
      </c>
      <c r="J284" s="3" t="s">
        <v>106</v>
      </c>
      <c r="K284" s="3" t="s">
        <v>347</v>
      </c>
      <c r="L284" s="3" t="s">
        <v>1133</v>
      </c>
      <c r="M284" s="3">
        <v>10</v>
      </c>
      <c r="N284" s="3">
        <v>14</v>
      </c>
      <c r="O284" s="3" t="s">
        <v>55</v>
      </c>
      <c r="P284" s="3" t="s">
        <v>44</v>
      </c>
      <c r="Q284" s="3">
        <v>0</v>
      </c>
      <c r="R284" s="3">
        <v>0</v>
      </c>
      <c r="S284" s="3">
        <v>0</v>
      </c>
      <c r="T284" s="3">
        <v>0</v>
      </c>
      <c r="U284" s="3">
        <v>1</v>
      </c>
      <c r="V284" s="3" t="s">
        <v>284</v>
      </c>
      <c r="W284" s="3">
        <v>0</v>
      </c>
      <c r="X284" s="3">
        <v>1</v>
      </c>
      <c r="Y284" s="3">
        <v>1</v>
      </c>
      <c r="Z284" s="3">
        <v>1</v>
      </c>
      <c r="AA284" s="3">
        <v>0</v>
      </c>
      <c r="AB284" s="3">
        <v>0</v>
      </c>
      <c r="AC284" s="3">
        <v>12</v>
      </c>
      <c r="AD284" s="3" t="s">
        <v>0</v>
      </c>
      <c r="AE284" s="3" t="s">
        <v>46</v>
      </c>
    </row>
    <row r="285" spans="1:31" ht="51" x14ac:dyDescent="0.2">
      <c r="A285" s="4" t="str">
        <f>HYPERLINK("http://www.patentics.cn/invokexml.do?sf=ShowPatent&amp;spn=CN103225864B&amp;sv=859ba71731fb5fd02c03d601da07eb51","CN103225864B")</f>
        <v>CN103225864B</v>
      </c>
      <c r="B285" s="2" t="s">
        <v>1564</v>
      </c>
      <c r="C285" s="2" t="s">
        <v>1565</v>
      </c>
      <c r="D285" s="2" t="s">
        <v>925</v>
      </c>
      <c r="E285" s="2" t="s">
        <v>624</v>
      </c>
      <c r="F285" s="2" t="s">
        <v>926</v>
      </c>
      <c r="G285" s="2" t="s">
        <v>927</v>
      </c>
      <c r="H285" s="2" t="s">
        <v>0</v>
      </c>
      <c r="I285" s="2" t="s">
        <v>1566</v>
      </c>
      <c r="J285" s="2" t="s">
        <v>1567</v>
      </c>
      <c r="K285" s="2" t="s">
        <v>41</v>
      </c>
      <c r="L285" s="2" t="s">
        <v>84</v>
      </c>
      <c r="M285" s="2">
        <v>8</v>
      </c>
      <c r="N285" s="2">
        <v>20</v>
      </c>
      <c r="O285" s="2" t="s">
        <v>43</v>
      </c>
      <c r="P285" s="2" t="s">
        <v>44</v>
      </c>
      <c r="Q285" s="2">
        <v>3</v>
      </c>
      <c r="R285" s="2">
        <v>0</v>
      </c>
      <c r="S285" s="2">
        <v>3</v>
      </c>
      <c r="T285" s="2">
        <v>3</v>
      </c>
      <c r="U285" s="2">
        <v>0</v>
      </c>
      <c r="V285" s="2" t="s">
        <v>45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 t="s">
        <v>0</v>
      </c>
      <c r="AD285" s="2">
        <v>1</v>
      </c>
      <c r="AE285" s="2" t="s">
        <v>46</v>
      </c>
    </row>
    <row r="286" spans="1:31" ht="51" x14ac:dyDescent="0.2">
      <c r="A286" s="5" t="str">
        <f>HYPERLINK("http://www.patentics.cn/invokexml.do?sf=ShowPatent&amp;spn=CN101266069&amp;sv=dc22b09821586a77ccdcbbb3399d12db","CN101266069")</f>
        <v>CN101266069</v>
      </c>
      <c r="B286" s="3" t="s">
        <v>1441</v>
      </c>
      <c r="C286" s="3" t="s">
        <v>1442</v>
      </c>
      <c r="D286" s="3" t="s">
        <v>49</v>
      </c>
      <c r="E286" s="3" t="s">
        <v>50</v>
      </c>
      <c r="F286" s="3" t="s">
        <v>1443</v>
      </c>
      <c r="G286" s="3" t="s">
        <v>264</v>
      </c>
      <c r="H286" s="3" t="s">
        <v>1444</v>
      </c>
      <c r="I286" s="3" t="s">
        <v>1444</v>
      </c>
      <c r="J286" s="3" t="s">
        <v>1445</v>
      </c>
      <c r="K286" s="3" t="s">
        <v>41</v>
      </c>
      <c r="L286" s="3" t="s">
        <v>84</v>
      </c>
      <c r="M286" s="3">
        <v>5</v>
      </c>
      <c r="N286" s="3">
        <v>26</v>
      </c>
      <c r="O286" s="3" t="s">
        <v>75</v>
      </c>
      <c r="P286" s="3" t="s">
        <v>44</v>
      </c>
      <c r="Q286" s="3">
        <v>0</v>
      </c>
      <c r="R286" s="3">
        <v>0</v>
      </c>
      <c r="S286" s="3">
        <v>0</v>
      </c>
      <c r="T286" s="3">
        <v>0</v>
      </c>
      <c r="U286" s="3">
        <v>6</v>
      </c>
      <c r="V286" s="3" t="s">
        <v>776</v>
      </c>
      <c r="W286" s="3">
        <v>0</v>
      </c>
      <c r="X286" s="3">
        <v>6</v>
      </c>
      <c r="Y286" s="3">
        <v>4</v>
      </c>
      <c r="Z286" s="3">
        <v>1</v>
      </c>
      <c r="AA286" s="3">
        <v>1</v>
      </c>
      <c r="AB286" s="3">
        <v>1</v>
      </c>
      <c r="AC286" s="3">
        <v>12</v>
      </c>
      <c r="AD286" s="3" t="s">
        <v>0</v>
      </c>
      <c r="AE286" s="3" t="s">
        <v>46</v>
      </c>
    </row>
    <row r="287" spans="1:31" ht="25.5" x14ac:dyDescent="0.2">
      <c r="A287" s="4" t="str">
        <f>HYPERLINK("http://www.patentics.cn/invokexml.do?sf=ShowPatent&amp;spn=CN102777418B&amp;sv=a718c56d40553f2b68d208b416ed9c9d","CN102777418B")</f>
        <v>CN102777418B</v>
      </c>
      <c r="B287" s="2" t="s">
        <v>1568</v>
      </c>
      <c r="C287" s="2" t="s">
        <v>1569</v>
      </c>
      <c r="D287" s="2" t="s">
        <v>79</v>
      </c>
      <c r="E287" s="2" t="s">
        <v>36</v>
      </c>
      <c r="F287" s="2" t="s">
        <v>1570</v>
      </c>
      <c r="G287" s="2" t="s">
        <v>1571</v>
      </c>
      <c r="H287" s="2" t="s">
        <v>82</v>
      </c>
      <c r="I287" s="2" t="s">
        <v>82</v>
      </c>
      <c r="J287" s="2" t="s">
        <v>1567</v>
      </c>
      <c r="K287" s="2" t="s">
        <v>789</v>
      </c>
      <c r="L287" s="2" t="s">
        <v>1572</v>
      </c>
      <c r="M287" s="2">
        <v>8</v>
      </c>
      <c r="N287" s="2">
        <v>15</v>
      </c>
      <c r="O287" s="2" t="s">
        <v>43</v>
      </c>
      <c r="P287" s="2" t="s">
        <v>44</v>
      </c>
      <c r="Q287" s="2">
        <v>4</v>
      </c>
      <c r="R287" s="2">
        <v>1</v>
      </c>
      <c r="S287" s="2">
        <v>3</v>
      </c>
      <c r="T287" s="2">
        <v>4</v>
      </c>
      <c r="U287" s="2">
        <v>0</v>
      </c>
      <c r="V287" s="2" t="s">
        <v>45</v>
      </c>
      <c r="W287" s="2">
        <v>0</v>
      </c>
      <c r="X287" s="2">
        <v>0</v>
      </c>
      <c r="Y287" s="2">
        <v>0</v>
      </c>
      <c r="Z287" s="2">
        <v>0</v>
      </c>
      <c r="AA287" s="2">
        <v>1</v>
      </c>
      <c r="AB287" s="2">
        <v>1</v>
      </c>
      <c r="AC287" s="2" t="s">
        <v>0</v>
      </c>
      <c r="AD287" s="2">
        <v>1</v>
      </c>
      <c r="AE287" s="2" t="s">
        <v>46</v>
      </c>
    </row>
    <row r="288" spans="1:31" ht="51" x14ac:dyDescent="0.2">
      <c r="A288" s="5" t="str">
        <f>HYPERLINK("http://www.patentics.cn/invokexml.do?sf=ShowPatent&amp;spn=CN201436402&amp;sv=0d317a2d712be5a2f81da60750bcc573","CN201436402")</f>
        <v>CN201436402</v>
      </c>
      <c r="B288" s="3" t="s">
        <v>1573</v>
      </c>
      <c r="C288" s="3" t="s">
        <v>1574</v>
      </c>
      <c r="D288" s="3" t="s">
        <v>49</v>
      </c>
      <c r="E288" s="3" t="s">
        <v>50</v>
      </c>
      <c r="F288" s="3" t="s">
        <v>1575</v>
      </c>
      <c r="G288" s="3" t="s">
        <v>1576</v>
      </c>
      <c r="H288" s="3" t="s">
        <v>0</v>
      </c>
      <c r="I288" s="3" t="s">
        <v>1577</v>
      </c>
      <c r="J288" s="3" t="s">
        <v>1578</v>
      </c>
      <c r="K288" s="3" t="s">
        <v>789</v>
      </c>
      <c r="L288" s="3" t="s">
        <v>1572</v>
      </c>
      <c r="M288" s="3">
        <v>8</v>
      </c>
      <c r="N288" s="3">
        <v>15</v>
      </c>
      <c r="O288" s="3" t="s">
        <v>55</v>
      </c>
      <c r="P288" s="3" t="s">
        <v>44</v>
      </c>
      <c r="Q288" s="3">
        <v>0</v>
      </c>
      <c r="R288" s="3">
        <v>0</v>
      </c>
      <c r="S288" s="3">
        <v>0</v>
      </c>
      <c r="T288" s="3">
        <v>0</v>
      </c>
      <c r="U288" s="3">
        <v>1</v>
      </c>
      <c r="V288" s="3" t="s">
        <v>284</v>
      </c>
      <c r="W288" s="3">
        <v>0</v>
      </c>
      <c r="X288" s="3">
        <v>1</v>
      </c>
      <c r="Y288" s="3">
        <v>1</v>
      </c>
      <c r="Z288" s="3">
        <v>1</v>
      </c>
      <c r="AA288" s="3">
        <v>0</v>
      </c>
      <c r="AB288" s="3">
        <v>0</v>
      </c>
      <c r="AC288" s="3">
        <v>12</v>
      </c>
      <c r="AD288" s="3" t="s">
        <v>0</v>
      </c>
      <c r="AE288" s="3" t="s">
        <v>46</v>
      </c>
    </row>
    <row r="289" spans="1:31" ht="25.5" x14ac:dyDescent="0.2">
      <c r="A289" s="4" t="str">
        <f>HYPERLINK("http://www.patentics.cn/invokexml.do?sf=ShowPatent&amp;spn=CN102707638B&amp;sv=af9e98f8401d0e443ac5283c921181c6","CN102707638B")</f>
        <v>CN102707638B</v>
      </c>
      <c r="B289" s="2" t="s">
        <v>1579</v>
      </c>
      <c r="C289" s="2" t="s">
        <v>1580</v>
      </c>
      <c r="D289" s="2" t="s">
        <v>79</v>
      </c>
      <c r="E289" s="2" t="s">
        <v>36</v>
      </c>
      <c r="F289" s="2" t="s">
        <v>1581</v>
      </c>
      <c r="G289" s="2" t="s">
        <v>1582</v>
      </c>
      <c r="H289" s="2" t="s">
        <v>1583</v>
      </c>
      <c r="I289" s="2" t="s">
        <v>1583</v>
      </c>
      <c r="J289" s="2" t="s">
        <v>1584</v>
      </c>
      <c r="K289" s="2" t="s">
        <v>679</v>
      </c>
      <c r="L289" s="2" t="s">
        <v>1585</v>
      </c>
      <c r="M289" s="2">
        <v>6</v>
      </c>
      <c r="N289" s="2">
        <v>15</v>
      </c>
      <c r="O289" s="2" t="s">
        <v>43</v>
      </c>
      <c r="P289" s="2" t="s">
        <v>44</v>
      </c>
      <c r="Q289" s="2">
        <v>3</v>
      </c>
      <c r="R289" s="2">
        <v>0</v>
      </c>
      <c r="S289" s="2">
        <v>3</v>
      </c>
      <c r="T289" s="2">
        <v>3</v>
      </c>
      <c r="U289" s="2">
        <v>0</v>
      </c>
      <c r="V289" s="2" t="s">
        <v>45</v>
      </c>
      <c r="W289" s="2">
        <v>0</v>
      </c>
      <c r="X289" s="2">
        <v>0</v>
      </c>
      <c r="Y289" s="2">
        <v>0</v>
      </c>
      <c r="Z289" s="2">
        <v>0</v>
      </c>
      <c r="AA289" s="2">
        <v>1</v>
      </c>
      <c r="AB289" s="2">
        <v>1</v>
      </c>
      <c r="AC289" s="2" t="s">
        <v>0</v>
      </c>
      <c r="AD289" s="2">
        <v>1</v>
      </c>
      <c r="AE289" s="2" t="s">
        <v>46</v>
      </c>
    </row>
    <row r="290" spans="1:31" ht="51" x14ac:dyDescent="0.2">
      <c r="A290" s="5" t="str">
        <f>HYPERLINK("http://www.patentics.cn/invokexml.do?sf=ShowPatent&amp;spn=CN202056029&amp;sv=6462f951fd6b9a38f674bf3c25365a63","CN202056029")</f>
        <v>CN202056029</v>
      </c>
      <c r="B290" s="3" t="s">
        <v>1586</v>
      </c>
      <c r="C290" s="3" t="s">
        <v>1587</v>
      </c>
      <c r="D290" s="3" t="s">
        <v>1588</v>
      </c>
      <c r="E290" s="3" t="s">
        <v>50</v>
      </c>
      <c r="F290" s="3" t="s">
        <v>1589</v>
      </c>
      <c r="G290" s="3" t="s">
        <v>1590</v>
      </c>
      <c r="H290" s="3" t="s">
        <v>0</v>
      </c>
      <c r="I290" s="3" t="s">
        <v>1591</v>
      </c>
      <c r="J290" s="3" t="s">
        <v>1592</v>
      </c>
      <c r="K290" s="3" t="s">
        <v>403</v>
      </c>
      <c r="L290" s="3" t="s">
        <v>404</v>
      </c>
      <c r="M290" s="3">
        <v>4</v>
      </c>
      <c r="N290" s="3">
        <v>10</v>
      </c>
      <c r="O290" s="3" t="s">
        <v>55</v>
      </c>
      <c r="P290" s="3" t="s">
        <v>44</v>
      </c>
      <c r="Q290" s="3">
        <v>0</v>
      </c>
      <c r="R290" s="3">
        <v>0</v>
      </c>
      <c r="S290" s="3">
        <v>0</v>
      </c>
      <c r="T290" s="3">
        <v>0</v>
      </c>
      <c r="U290" s="3">
        <v>2</v>
      </c>
      <c r="V290" s="3" t="s">
        <v>1593</v>
      </c>
      <c r="W290" s="3">
        <v>0</v>
      </c>
      <c r="X290" s="3">
        <v>2</v>
      </c>
      <c r="Y290" s="3">
        <v>2</v>
      </c>
      <c r="Z290" s="3">
        <v>1</v>
      </c>
      <c r="AA290" s="3">
        <v>0</v>
      </c>
      <c r="AB290" s="3">
        <v>0</v>
      </c>
      <c r="AC290" s="3">
        <v>12</v>
      </c>
      <c r="AD290" s="3" t="s">
        <v>0</v>
      </c>
      <c r="AE290" s="3" t="s">
        <v>46</v>
      </c>
    </row>
    <row r="291" spans="1:31" ht="38.25" x14ac:dyDescent="0.2">
      <c r="A291" s="4" t="str">
        <f>HYPERLINK("http://www.patentics.cn/invokexml.do?sf=ShowPatent&amp;spn=CN102997610B&amp;sv=f5b9748d064aeb5ae75cc296cd2f1c2c","CN102997610B")</f>
        <v>CN102997610B</v>
      </c>
      <c r="B291" s="2" t="s">
        <v>1594</v>
      </c>
      <c r="C291" s="2" t="s">
        <v>1595</v>
      </c>
      <c r="D291" s="2" t="s">
        <v>1215</v>
      </c>
      <c r="E291" s="2" t="s">
        <v>36</v>
      </c>
      <c r="F291" s="2" t="s">
        <v>1596</v>
      </c>
      <c r="G291" s="2" t="s">
        <v>1597</v>
      </c>
      <c r="H291" s="2" t="s">
        <v>1598</v>
      </c>
      <c r="I291" s="2" t="s">
        <v>1598</v>
      </c>
      <c r="J291" s="2" t="s">
        <v>1599</v>
      </c>
      <c r="K291" s="2" t="s">
        <v>1220</v>
      </c>
      <c r="L291" s="2" t="s">
        <v>1221</v>
      </c>
      <c r="M291" s="2">
        <v>7</v>
      </c>
      <c r="N291" s="2">
        <v>19</v>
      </c>
      <c r="O291" s="2" t="s">
        <v>43</v>
      </c>
      <c r="P291" s="2" t="s">
        <v>44</v>
      </c>
      <c r="Q291" s="2">
        <v>4</v>
      </c>
      <c r="R291" s="2">
        <v>2</v>
      </c>
      <c r="S291" s="2">
        <v>2</v>
      </c>
      <c r="T291" s="2">
        <v>3</v>
      </c>
      <c r="U291" s="2">
        <v>0</v>
      </c>
      <c r="V291" s="2" t="s">
        <v>45</v>
      </c>
      <c r="W291" s="2">
        <v>0</v>
      </c>
      <c r="X291" s="2">
        <v>0</v>
      </c>
      <c r="Y291" s="2">
        <v>0</v>
      </c>
      <c r="Z291" s="2">
        <v>0</v>
      </c>
      <c r="AA291" s="2">
        <v>1</v>
      </c>
      <c r="AB291" s="2">
        <v>1</v>
      </c>
      <c r="AC291" s="2" t="s">
        <v>0</v>
      </c>
      <c r="AD291" s="2">
        <v>1</v>
      </c>
      <c r="AE291" s="2" t="s">
        <v>46</v>
      </c>
    </row>
    <row r="292" spans="1:31" ht="63.75" x14ac:dyDescent="0.2">
      <c r="A292" s="5" t="str">
        <f>HYPERLINK("http://www.patentics.cn/invokexml.do?sf=ShowPatent&amp;spn=CN102589082&amp;sv=b2d0cca52ec1829e15f02a2e6fd224fe","CN102589082")</f>
        <v>CN102589082</v>
      </c>
      <c r="B292" s="3" t="s">
        <v>1600</v>
      </c>
      <c r="C292" s="3" t="s">
        <v>1601</v>
      </c>
      <c r="D292" s="3" t="s">
        <v>49</v>
      </c>
      <c r="E292" s="3" t="s">
        <v>50</v>
      </c>
      <c r="F292" s="3" t="s">
        <v>1602</v>
      </c>
      <c r="G292" s="3" t="s">
        <v>1603</v>
      </c>
      <c r="H292" s="3" t="s">
        <v>0</v>
      </c>
      <c r="I292" s="3" t="s">
        <v>1604</v>
      </c>
      <c r="J292" s="3" t="s">
        <v>353</v>
      </c>
      <c r="K292" s="3" t="s">
        <v>41</v>
      </c>
      <c r="L292" s="3" t="s">
        <v>84</v>
      </c>
      <c r="M292" s="3">
        <v>10</v>
      </c>
      <c r="N292" s="3">
        <v>7</v>
      </c>
      <c r="O292" s="3" t="s">
        <v>75</v>
      </c>
      <c r="P292" s="3" t="s">
        <v>44</v>
      </c>
      <c r="Q292" s="3">
        <v>0</v>
      </c>
      <c r="R292" s="3">
        <v>0</v>
      </c>
      <c r="S292" s="3">
        <v>0</v>
      </c>
      <c r="T292" s="3">
        <v>0</v>
      </c>
      <c r="U292" s="3">
        <v>1</v>
      </c>
      <c r="V292" s="3" t="s">
        <v>284</v>
      </c>
      <c r="W292" s="3">
        <v>0</v>
      </c>
      <c r="X292" s="3">
        <v>1</v>
      </c>
      <c r="Y292" s="3">
        <v>1</v>
      </c>
      <c r="Z292" s="3">
        <v>1</v>
      </c>
      <c r="AA292" s="3">
        <v>0</v>
      </c>
      <c r="AB292" s="3">
        <v>0</v>
      </c>
      <c r="AC292" s="3">
        <v>12</v>
      </c>
      <c r="AD292" s="3" t="s">
        <v>0</v>
      </c>
      <c r="AE292" s="3" t="s">
        <v>46</v>
      </c>
    </row>
    <row r="293" spans="1:31" ht="25.5" x14ac:dyDescent="0.2">
      <c r="A293" s="4" t="str">
        <f>HYPERLINK("http://www.patentics.cn/invokexml.do?sf=ShowPatent&amp;spn=CN102705985B&amp;sv=58771ff77a92d7dcfdcec74dd694af15","CN102705985B")</f>
        <v>CN102705985B</v>
      </c>
      <c r="B293" s="2" t="s">
        <v>1605</v>
      </c>
      <c r="C293" s="2" t="s">
        <v>1606</v>
      </c>
      <c r="D293" s="2" t="s">
        <v>1078</v>
      </c>
      <c r="E293" s="2" t="s">
        <v>36</v>
      </c>
      <c r="F293" s="2" t="s">
        <v>1607</v>
      </c>
      <c r="G293" s="2" t="s">
        <v>1607</v>
      </c>
      <c r="H293" s="2" t="s">
        <v>337</v>
      </c>
      <c r="I293" s="2" t="s">
        <v>337</v>
      </c>
      <c r="J293" s="2" t="s">
        <v>1599</v>
      </c>
      <c r="K293" s="2" t="s">
        <v>1608</v>
      </c>
      <c r="L293" s="2" t="s">
        <v>1609</v>
      </c>
      <c r="M293" s="2">
        <v>4</v>
      </c>
      <c r="N293" s="2">
        <v>30</v>
      </c>
      <c r="O293" s="2" t="s">
        <v>43</v>
      </c>
      <c r="P293" s="2" t="s">
        <v>44</v>
      </c>
      <c r="Q293" s="2">
        <v>3</v>
      </c>
      <c r="R293" s="2">
        <v>0</v>
      </c>
      <c r="S293" s="2">
        <v>3</v>
      </c>
      <c r="T293" s="2">
        <v>3</v>
      </c>
      <c r="U293" s="2">
        <v>0</v>
      </c>
      <c r="V293" s="2" t="s">
        <v>45</v>
      </c>
      <c r="W293" s="2">
        <v>0</v>
      </c>
      <c r="X293" s="2">
        <v>0</v>
      </c>
      <c r="Y293" s="2">
        <v>0</v>
      </c>
      <c r="Z293" s="2">
        <v>0</v>
      </c>
      <c r="AA293" s="2">
        <v>1</v>
      </c>
      <c r="AB293" s="2">
        <v>1</v>
      </c>
      <c r="AC293" s="2" t="s">
        <v>0</v>
      </c>
      <c r="AD293" s="2">
        <v>1</v>
      </c>
      <c r="AE293" s="2" t="s">
        <v>46</v>
      </c>
    </row>
    <row r="294" spans="1:31" ht="25.5" x14ac:dyDescent="0.2">
      <c r="A294" s="5" t="str">
        <f>HYPERLINK("http://www.patentics.cn/invokexml.do?sf=ShowPatent&amp;spn=CN101446463&amp;sv=fb5f60bfb78d968f736572d89e44372e","CN101446463")</f>
        <v>CN101446463</v>
      </c>
      <c r="B294" s="3" t="s">
        <v>941</v>
      </c>
      <c r="C294" s="3" t="s">
        <v>942</v>
      </c>
      <c r="D294" s="3" t="s">
        <v>49</v>
      </c>
      <c r="E294" s="3" t="s">
        <v>50</v>
      </c>
      <c r="F294" s="3" t="s">
        <v>943</v>
      </c>
      <c r="G294" s="3" t="s">
        <v>944</v>
      </c>
      <c r="H294" s="3" t="s">
        <v>945</v>
      </c>
      <c r="I294" s="3" t="s">
        <v>945</v>
      </c>
      <c r="J294" s="3" t="s">
        <v>946</v>
      </c>
      <c r="K294" s="3" t="s">
        <v>347</v>
      </c>
      <c r="L294" s="3" t="s">
        <v>354</v>
      </c>
      <c r="M294" s="3">
        <v>14</v>
      </c>
      <c r="N294" s="3">
        <v>16</v>
      </c>
      <c r="O294" s="3" t="s">
        <v>75</v>
      </c>
      <c r="P294" s="3" t="s">
        <v>44</v>
      </c>
      <c r="Q294" s="3">
        <v>0</v>
      </c>
      <c r="R294" s="3">
        <v>0</v>
      </c>
      <c r="S294" s="3">
        <v>0</v>
      </c>
      <c r="T294" s="3">
        <v>0</v>
      </c>
      <c r="U294" s="3">
        <v>10</v>
      </c>
      <c r="V294" s="3" t="s">
        <v>947</v>
      </c>
      <c r="W294" s="3">
        <v>0</v>
      </c>
      <c r="X294" s="3">
        <v>10</v>
      </c>
      <c r="Y294" s="3">
        <v>6</v>
      </c>
      <c r="Z294" s="3">
        <v>1</v>
      </c>
      <c r="AA294" s="3">
        <v>1</v>
      </c>
      <c r="AB294" s="3">
        <v>1</v>
      </c>
      <c r="AC294" s="3">
        <v>12</v>
      </c>
      <c r="AD294" s="3" t="s">
        <v>0</v>
      </c>
      <c r="AE294" s="3" t="s">
        <v>46</v>
      </c>
    </row>
    <row r="295" spans="1:31" ht="38.25" x14ac:dyDescent="0.2">
      <c r="A295" s="4" t="str">
        <f>HYPERLINK("http://www.patentics.cn/invokexml.do?sf=ShowPatent&amp;spn=CN102788411B&amp;sv=7c09ad496eed1c70557cb8e6323f540b","CN102788411B")</f>
        <v>CN102788411B</v>
      </c>
      <c r="B295" s="2" t="s">
        <v>1610</v>
      </c>
      <c r="C295" s="2" t="s">
        <v>1611</v>
      </c>
      <c r="D295" s="2" t="s">
        <v>35</v>
      </c>
      <c r="E295" s="2" t="s">
        <v>36</v>
      </c>
      <c r="F295" s="2" t="s">
        <v>1612</v>
      </c>
      <c r="G295" s="2" t="s">
        <v>1613</v>
      </c>
      <c r="H295" s="2" t="s">
        <v>1614</v>
      </c>
      <c r="I295" s="2" t="s">
        <v>1614</v>
      </c>
      <c r="J295" s="2" t="s">
        <v>1615</v>
      </c>
      <c r="K295" s="2" t="s">
        <v>41</v>
      </c>
      <c r="L295" s="2" t="s">
        <v>453</v>
      </c>
      <c r="M295" s="2">
        <v>9</v>
      </c>
      <c r="N295" s="2">
        <v>17</v>
      </c>
      <c r="O295" s="2" t="s">
        <v>43</v>
      </c>
      <c r="P295" s="2" t="s">
        <v>44</v>
      </c>
      <c r="Q295" s="2">
        <v>5</v>
      </c>
      <c r="R295" s="2">
        <v>1</v>
      </c>
      <c r="S295" s="2">
        <v>4</v>
      </c>
      <c r="T295" s="2">
        <v>5</v>
      </c>
      <c r="U295" s="2">
        <v>0</v>
      </c>
      <c r="V295" s="2" t="s">
        <v>45</v>
      </c>
      <c r="W295" s="2">
        <v>0</v>
      </c>
      <c r="X295" s="2">
        <v>0</v>
      </c>
      <c r="Y295" s="2">
        <v>0</v>
      </c>
      <c r="Z295" s="2">
        <v>0</v>
      </c>
      <c r="AA295" s="2">
        <v>1</v>
      </c>
      <c r="AB295" s="2">
        <v>1</v>
      </c>
      <c r="AC295" s="2" t="s">
        <v>0</v>
      </c>
      <c r="AD295" s="2">
        <v>1</v>
      </c>
      <c r="AE295" s="2" t="s">
        <v>46</v>
      </c>
    </row>
    <row r="296" spans="1:31" ht="51" x14ac:dyDescent="0.2">
      <c r="A296" s="5" t="str">
        <f>HYPERLINK("http://www.patentics.cn/invokexml.do?sf=ShowPatent&amp;spn=CN101220974&amp;sv=fc01367aaa1965ca585f70e45df00175","CN101220974")</f>
        <v>CN101220974</v>
      </c>
      <c r="B296" s="3" t="s">
        <v>1616</v>
      </c>
      <c r="C296" s="3" t="s">
        <v>258</v>
      </c>
      <c r="D296" s="3" t="s">
        <v>49</v>
      </c>
      <c r="E296" s="3" t="s">
        <v>50</v>
      </c>
      <c r="F296" s="3" t="s">
        <v>1617</v>
      </c>
      <c r="G296" s="3" t="s">
        <v>253</v>
      </c>
      <c r="H296" s="3" t="s">
        <v>1618</v>
      </c>
      <c r="I296" s="3" t="s">
        <v>1618</v>
      </c>
      <c r="J296" s="3" t="s">
        <v>586</v>
      </c>
      <c r="K296" s="3" t="s">
        <v>41</v>
      </c>
      <c r="L296" s="3" t="s">
        <v>42</v>
      </c>
      <c r="M296" s="3">
        <v>11</v>
      </c>
      <c r="N296" s="3">
        <v>38</v>
      </c>
      <c r="O296" s="3" t="s">
        <v>75</v>
      </c>
      <c r="P296" s="3" t="s">
        <v>44</v>
      </c>
      <c r="Q296" s="3">
        <v>1</v>
      </c>
      <c r="R296" s="3">
        <v>0</v>
      </c>
      <c r="S296" s="3">
        <v>1</v>
      </c>
      <c r="T296" s="3">
        <v>1</v>
      </c>
      <c r="U296" s="3">
        <v>1</v>
      </c>
      <c r="V296" s="3" t="s">
        <v>224</v>
      </c>
      <c r="W296" s="3">
        <v>0</v>
      </c>
      <c r="X296" s="3">
        <v>1</v>
      </c>
      <c r="Y296" s="3">
        <v>1</v>
      </c>
      <c r="Z296" s="3">
        <v>1</v>
      </c>
      <c r="AA296" s="3">
        <v>2</v>
      </c>
      <c r="AB296" s="3">
        <v>2</v>
      </c>
      <c r="AC296" s="3">
        <v>12</v>
      </c>
      <c r="AD296" s="3" t="s">
        <v>0</v>
      </c>
      <c r="AE296" s="3" t="s">
        <v>46</v>
      </c>
    </row>
    <row r="297" spans="1:31" ht="25.5" x14ac:dyDescent="0.2">
      <c r="A297" s="4" t="str">
        <f>HYPERLINK("http://www.patentics.cn/invokexml.do?sf=ShowPatent&amp;spn=CN102542758B&amp;sv=aa7f45ffcc7887c722230fb5580ebde3","CN102542758B")</f>
        <v>CN102542758B</v>
      </c>
      <c r="B297" s="2" t="s">
        <v>1619</v>
      </c>
      <c r="C297" s="2" t="s">
        <v>1620</v>
      </c>
      <c r="D297" s="2" t="s">
        <v>79</v>
      </c>
      <c r="E297" s="2" t="s">
        <v>36</v>
      </c>
      <c r="F297" s="2" t="s">
        <v>1621</v>
      </c>
      <c r="G297" s="2" t="s">
        <v>1622</v>
      </c>
      <c r="H297" s="2" t="s">
        <v>74</v>
      </c>
      <c r="I297" s="2" t="s">
        <v>74</v>
      </c>
      <c r="J297" s="2" t="s">
        <v>1623</v>
      </c>
      <c r="K297" s="2" t="s">
        <v>1162</v>
      </c>
      <c r="L297" s="2" t="s">
        <v>1624</v>
      </c>
      <c r="M297" s="2">
        <v>8</v>
      </c>
      <c r="N297" s="2">
        <v>51</v>
      </c>
      <c r="O297" s="2" t="s">
        <v>43</v>
      </c>
      <c r="P297" s="2" t="s">
        <v>44</v>
      </c>
      <c r="Q297" s="2">
        <v>2</v>
      </c>
      <c r="R297" s="2">
        <v>0</v>
      </c>
      <c r="S297" s="2">
        <v>2</v>
      </c>
      <c r="T297" s="2">
        <v>2</v>
      </c>
      <c r="U297" s="2">
        <v>0</v>
      </c>
      <c r="V297" s="2" t="s">
        <v>45</v>
      </c>
      <c r="W297" s="2">
        <v>0</v>
      </c>
      <c r="X297" s="2">
        <v>0</v>
      </c>
      <c r="Y297" s="2">
        <v>0</v>
      </c>
      <c r="Z297" s="2">
        <v>0</v>
      </c>
      <c r="AA297" s="2">
        <v>1</v>
      </c>
      <c r="AB297" s="2">
        <v>1</v>
      </c>
      <c r="AC297" s="2" t="s">
        <v>0</v>
      </c>
      <c r="AD297" s="2">
        <v>1</v>
      </c>
      <c r="AE297" s="2" t="s">
        <v>46</v>
      </c>
    </row>
    <row r="298" spans="1:31" ht="25.5" x14ac:dyDescent="0.2">
      <c r="A298" s="5" t="str">
        <f>HYPERLINK("http://www.patentics.cn/invokexml.do?sf=ShowPatent&amp;spn=CN201673593&amp;sv=66f6ba331ef31fdd51c18b734e35d1f3","CN201673593")</f>
        <v>CN201673593</v>
      </c>
      <c r="B298" s="3" t="s">
        <v>1625</v>
      </c>
      <c r="C298" s="3" t="s">
        <v>1626</v>
      </c>
      <c r="D298" s="3" t="s">
        <v>49</v>
      </c>
      <c r="E298" s="3" t="s">
        <v>50</v>
      </c>
      <c r="F298" s="3" t="s">
        <v>1627</v>
      </c>
      <c r="G298" s="3" t="s">
        <v>1628</v>
      </c>
      <c r="H298" s="3" t="s">
        <v>0</v>
      </c>
      <c r="I298" s="3" t="s">
        <v>1629</v>
      </c>
      <c r="J298" s="3" t="s">
        <v>68</v>
      </c>
      <c r="K298" s="3" t="s">
        <v>1162</v>
      </c>
      <c r="L298" s="3" t="s">
        <v>1624</v>
      </c>
      <c r="M298" s="3">
        <v>9</v>
      </c>
      <c r="N298" s="3">
        <v>22</v>
      </c>
      <c r="O298" s="3" t="s">
        <v>55</v>
      </c>
      <c r="P298" s="3" t="s">
        <v>44</v>
      </c>
      <c r="Q298" s="3">
        <v>0</v>
      </c>
      <c r="R298" s="3">
        <v>0</v>
      </c>
      <c r="S298" s="3">
        <v>0</v>
      </c>
      <c r="T298" s="3">
        <v>0</v>
      </c>
      <c r="U298" s="3">
        <v>3</v>
      </c>
      <c r="V298" s="3" t="s">
        <v>1630</v>
      </c>
      <c r="W298" s="3">
        <v>2</v>
      </c>
      <c r="X298" s="3">
        <v>1</v>
      </c>
      <c r="Y298" s="3">
        <v>2</v>
      </c>
      <c r="Z298" s="3">
        <v>1</v>
      </c>
      <c r="AA298" s="3">
        <v>0</v>
      </c>
      <c r="AB298" s="3">
        <v>0</v>
      </c>
      <c r="AC298" s="3">
        <v>12</v>
      </c>
      <c r="AD298" s="3" t="s">
        <v>0</v>
      </c>
      <c r="AE298" s="3" t="s">
        <v>46</v>
      </c>
    </row>
    <row r="299" spans="1:31" ht="51" x14ac:dyDescent="0.2">
      <c r="A299" s="4" t="str">
        <f>HYPERLINK("http://www.patentics.cn/invokexml.do?sf=ShowPatent&amp;spn=CN102538099B&amp;sv=4a64553fa847205e3ba96d462c1223fa","CN102538099B")</f>
        <v>CN102538099B</v>
      </c>
      <c r="B299" s="2" t="s">
        <v>1631</v>
      </c>
      <c r="C299" s="2" t="s">
        <v>1632</v>
      </c>
      <c r="D299" s="2" t="s">
        <v>1633</v>
      </c>
      <c r="E299" s="2" t="s">
        <v>624</v>
      </c>
      <c r="F299" s="2" t="s">
        <v>1634</v>
      </c>
      <c r="G299" s="2" t="s">
        <v>1635</v>
      </c>
      <c r="H299" s="2" t="s">
        <v>1636</v>
      </c>
      <c r="I299" s="2" t="s">
        <v>1636</v>
      </c>
      <c r="J299" s="2" t="s">
        <v>1637</v>
      </c>
      <c r="K299" s="2" t="s">
        <v>41</v>
      </c>
      <c r="L299" s="2" t="s">
        <v>891</v>
      </c>
      <c r="M299" s="2">
        <v>9</v>
      </c>
      <c r="N299" s="2">
        <v>13</v>
      </c>
      <c r="O299" s="2" t="s">
        <v>43</v>
      </c>
      <c r="P299" s="2" t="s">
        <v>44</v>
      </c>
      <c r="Q299" s="2">
        <v>2</v>
      </c>
      <c r="R299" s="2">
        <v>0</v>
      </c>
      <c r="S299" s="2">
        <v>2</v>
      </c>
      <c r="T299" s="2">
        <v>2</v>
      </c>
      <c r="U299" s="2">
        <v>0</v>
      </c>
      <c r="V299" s="2" t="s">
        <v>45</v>
      </c>
      <c r="W299" s="2">
        <v>0</v>
      </c>
      <c r="X299" s="2">
        <v>0</v>
      </c>
      <c r="Y299" s="2">
        <v>0</v>
      </c>
      <c r="Z299" s="2">
        <v>0</v>
      </c>
      <c r="AA299" s="2">
        <v>1</v>
      </c>
      <c r="AB299" s="2">
        <v>1</v>
      </c>
      <c r="AC299" s="2" t="s">
        <v>0</v>
      </c>
      <c r="AD299" s="2">
        <v>1</v>
      </c>
      <c r="AE299" s="2" t="s">
        <v>46</v>
      </c>
    </row>
    <row r="300" spans="1:31" ht="25.5" x14ac:dyDescent="0.2">
      <c r="A300" s="5" t="str">
        <f>HYPERLINK("http://www.patentics.cn/invokexml.do?sf=ShowPatent&amp;spn=CN2175891&amp;sv=c574be9eede1a46f558f0bfdd89a5033","CN2175891")</f>
        <v>CN2175891</v>
      </c>
      <c r="B300" s="3" t="s">
        <v>1638</v>
      </c>
      <c r="C300" s="3" t="s">
        <v>1639</v>
      </c>
      <c r="D300" s="3" t="s">
        <v>1640</v>
      </c>
      <c r="E300" s="3" t="s">
        <v>50</v>
      </c>
      <c r="F300" s="3" t="s">
        <v>1641</v>
      </c>
      <c r="G300" s="3" t="s">
        <v>1642</v>
      </c>
      <c r="H300" s="3" t="s">
        <v>1643</v>
      </c>
      <c r="I300" s="3" t="s">
        <v>1643</v>
      </c>
      <c r="J300" s="3" t="s">
        <v>1644</v>
      </c>
      <c r="K300" s="3" t="s">
        <v>41</v>
      </c>
      <c r="L300" s="3" t="s">
        <v>428</v>
      </c>
      <c r="M300" s="3">
        <v>8</v>
      </c>
      <c r="N300" s="3">
        <v>12</v>
      </c>
      <c r="O300" s="3" t="s">
        <v>55</v>
      </c>
      <c r="P300" s="3" t="s">
        <v>44</v>
      </c>
      <c r="Q300" s="3">
        <v>0</v>
      </c>
      <c r="R300" s="3">
        <v>0</v>
      </c>
      <c r="S300" s="3">
        <v>0</v>
      </c>
      <c r="T300" s="3">
        <v>0</v>
      </c>
      <c r="U300" s="3">
        <v>2</v>
      </c>
      <c r="V300" s="3" t="s">
        <v>1645</v>
      </c>
      <c r="W300" s="3">
        <v>0</v>
      </c>
      <c r="X300" s="3">
        <v>2</v>
      </c>
      <c r="Y300" s="3">
        <v>2</v>
      </c>
      <c r="Z300" s="3">
        <v>1</v>
      </c>
      <c r="AA300" s="3">
        <v>0</v>
      </c>
      <c r="AB300" s="3">
        <v>0</v>
      </c>
      <c r="AC300" s="3">
        <v>12</v>
      </c>
      <c r="AD300" s="3" t="s">
        <v>0</v>
      </c>
      <c r="AE300" s="3" t="s">
        <v>57</v>
      </c>
    </row>
    <row r="301" spans="1:31" ht="25.5" x14ac:dyDescent="0.2">
      <c r="A301" s="4" t="str">
        <f>HYPERLINK("http://www.patentics.cn/invokexml.do?sf=ShowPatent&amp;spn=CN102589138B&amp;sv=7848a665b7882dfa04582dd8b38a89c4","CN102589138B")</f>
        <v>CN102589138B</v>
      </c>
      <c r="B301" s="2" t="s">
        <v>1646</v>
      </c>
      <c r="C301" s="2" t="s">
        <v>1647</v>
      </c>
      <c r="D301" s="2" t="s">
        <v>1078</v>
      </c>
      <c r="E301" s="2" t="s">
        <v>36</v>
      </c>
      <c r="F301" s="2" t="s">
        <v>1648</v>
      </c>
      <c r="G301" s="2" t="s">
        <v>1649</v>
      </c>
      <c r="H301" s="2" t="s">
        <v>1636</v>
      </c>
      <c r="I301" s="2" t="s">
        <v>1636</v>
      </c>
      <c r="J301" s="2" t="s">
        <v>1650</v>
      </c>
      <c r="K301" s="2" t="s">
        <v>1608</v>
      </c>
      <c r="L301" s="2" t="s">
        <v>1651</v>
      </c>
      <c r="M301" s="2">
        <v>5</v>
      </c>
      <c r="N301" s="2">
        <v>14</v>
      </c>
      <c r="O301" s="2" t="s">
        <v>43</v>
      </c>
      <c r="P301" s="2" t="s">
        <v>44</v>
      </c>
      <c r="Q301" s="2">
        <v>2</v>
      </c>
      <c r="R301" s="2">
        <v>0</v>
      </c>
      <c r="S301" s="2">
        <v>2</v>
      </c>
      <c r="T301" s="2">
        <v>2</v>
      </c>
      <c r="U301" s="2">
        <v>0</v>
      </c>
      <c r="V301" s="2" t="s">
        <v>45</v>
      </c>
      <c r="W301" s="2">
        <v>0</v>
      </c>
      <c r="X301" s="2">
        <v>0</v>
      </c>
      <c r="Y301" s="2">
        <v>0</v>
      </c>
      <c r="Z301" s="2">
        <v>0</v>
      </c>
      <c r="AA301" s="2">
        <v>1</v>
      </c>
      <c r="AB301" s="2">
        <v>1</v>
      </c>
      <c r="AC301" s="2" t="s">
        <v>0</v>
      </c>
      <c r="AD301" s="2">
        <v>1</v>
      </c>
      <c r="AE301" s="2" t="s">
        <v>46</v>
      </c>
    </row>
    <row r="302" spans="1:31" ht="114.75" x14ac:dyDescent="0.2">
      <c r="A302" s="5" t="str">
        <f>HYPERLINK("http://www.patentics.cn/invokexml.do?sf=ShowPatent&amp;spn=CN101957053&amp;sv=32c31737b58d94372be0a71b42456853","CN101957053")</f>
        <v>CN101957053</v>
      </c>
      <c r="B302" s="3" t="s">
        <v>1652</v>
      </c>
      <c r="C302" s="3" t="s">
        <v>1653</v>
      </c>
      <c r="D302" s="3" t="s">
        <v>49</v>
      </c>
      <c r="E302" s="3" t="s">
        <v>50</v>
      </c>
      <c r="F302" s="3" t="s">
        <v>1654</v>
      </c>
      <c r="G302" s="3" t="s">
        <v>1086</v>
      </c>
      <c r="H302" s="3" t="s">
        <v>1655</v>
      </c>
      <c r="I302" s="3" t="s">
        <v>1655</v>
      </c>
      <c r="J302" s="3" t="s">
        <v>468</v>
      </c>
      <c r="K302" s="3" t="s">
        <v>1608</v>
      </c>
      <c r="L302" s="3" t="s">
        <v>1656</v>
      </c>
      <c r="M302" s="3">
        <v>10</v>
      </c>
      <c r="N302" s="3">
        <v>11</v>
      </c>
      <c r="O302" s="3" t="s">
        <v>75</v>
      </c>
      <c r="P302" s="3" t="s">
        <v>44</v>
      </c>
      <c r="Q302" s="3">
        <v>0</v>
      </c>
      <c r="R302" s="3">
        <v>0</v>
      </c>
      <c r="S302" s="3">
        <v>0</v>
      </c>
      <c r="T302" s="3">
        <v>0</v>
      </c>
      <c r="U302" s="3">
        <v>2</v>
      </c>
      <c r="V302" s="3" t="s">
        <v>1657</v>
      </c>
      <c r="W302" s="3">
        <v>0</v>
      </c>
      <c r="X302" s="3">
        <v>2</v>
      </c>
      <c r="Y302" s="3">
        <v>2</v>
      </c>
      <c r="Z302" s="3">
        <v>1</v>
      </c>
      <c r="AA302" s="3">
        <v>2</v>
      </c>
      <c r="AB302" s="3">
        <v>2</v>
      </c>
      <c r="AC302" s="3">
        <v>12</v>
      </c>
      <c r="AD302" s="3" t="s">
        <v>0</v>
      </c>
      <c r="AE302" s="3" t="s">
        <v>46</v>
      </c>
    </row>
    <row r="303" spans="1:31" ht="25.5" x14ac:dyDescent="0.2">
      <c r="A303" s="4" t="str">
        <f>HYPERLINK("http://www.patentics.cn/invokexml.do?sf=ShowPatent&amp;spn=CN102589084B&amp;sv=a586cc23802b5d3ea69faee366aee3fb","CN102589084B")</f>
        <v>CN102589084B</v>
      </c>
      <c r="B303" s="2" t="s">
        <v>1658</v>
      </c>
      <c r="C303" s="2" t="s">
        <v>1659</v>
      </c>
      <c r="D303" s="2" t="s">
        <v>79</v>
      </c>
      <c r="E303" s="2" t="s">
        <v>36</v>
      </c>
      <c r="F303" s="2" t="s">
        <v>1660</v>
      </c>
      <c r="G303" s="2" t="s">
        <v>1661</v>
      </c>
      <c r="H303" s="2" t="s">
        <v>1662</v>
      </c>
      <c r="I303" s="2" t="s">
        <v>1662</v>
      </c>
      <c r="J303" s="2" t="s">
        <v>1663</v>
      </c>
      <c r="K303" s="2" t="s">
        <v>41</v>
      </c>
      <c r="L303" s="2" t="s">
        <v>84</v>
      </c>
      <c r="M303" s="2">
        <v>5</v>
      </c>
      <c r="N303" s="2">
        <v>14</v>
      </c>
      <c r="O303" s="2" t="s">
        <v>43</v>
      </c>
      <c r="P303" s="2" t="s">
        <v>44</v>
      </c>
      <c r="Q303" s="2">
        <v>6</v>
      </c>
      <c r="R303" s="2">
        <v>0</v>
      </c>
      <c r="S303" s="2">
        <v>6</v>
      </c>
      <c r="T303" s="2">
        <v>6</v>
      </c>
      <c r="U303" s="2">
        <v>0</v>
      </c>
      <c r="V303" s="2" t="s">
        <v>45</v>
      </c>
      <c r="W303" s="2">
        <v>0</v>
      </c>
      <c r="X303" s="2">
        <v>0</v>
      </c>
      <c r="Y303" s="2">
        <v>0</v>
      </c>
      <c r="Z303" s="2">
        <v>0</v>
      </c>
      <c r="AA303" s="2">
        <v>1</v>
      </c>
      <c r="AB303" s="2">
        <v>1</v>
      </c>
      <c r="AC303" s="2" t="s">
        <v>0</v>
      </c>
      <c r="AD303" s="2">
        <v>1</v>
      </c>
      <c r="AE303" s="2" t="s">
        <v>46</v>
      </c>
    </row>
    <row r="304" spans="1:31" ht="38.25" x14ac:dyDescent="0.2">
      <c r="A304" s="5" t="str">
        <f>HYPERLINK("http://www.patentics.cn/invokexml.do?sf=ShowPatent&amp;spn=CN1921292&amp;sv=518502820d0e0758eb78c140ee479aa4","CN1921292")</f>
        <v>CN1921292</v>
      </c>
      <c r="B304" s="3" t="s">
        <v>1664</v>
      </c>
      <c r="C304" s="3" t="s">
        <v>1665</v>
      </c>
      <c r="D304" s="3" t="s">
        <v>49</v>
      </c>
      <c r="E304" s="3" t="s">
        <v>50</v>
      </c>
      <c r="F304" s="3" t="s">
        <v>1666</v>
      </c>
      <c r="G304" s="3" t="s">
        <v>486</v>
      </c>
      <c r="H304" s="3" t="s">
        <v>1667</v>
      </c>
      <c r="I304" s="3" t="s">
        <v>1667</v>
      </c>
      <c r="J304" s="3" t="s">
        <v>1668</v>
      </c>
      <c r="K304" s="3" t="s">
        <v>1096</v>
      </c>
      <c r="L304" s="3" t="s">
        <v>1669</v>
      </c>
      <c r="M304" s="3">
        <v>8</v>
      </c>
      <c r="N304" s="3">
        <v>11</v>
      </c>
      <c r="O304" s="3" t="s">
        <v>75</v>
      </c>
      <c r="P304" s="3" t="s">
        <v>44</v>
      </c>
      <c r="Q304" s="3">
        <v>0</v>
      </c>
      <c r="R304" s="3">
        <v>0</v>
      </c>
      <c r="S304" s="3">
        <v>0</v>
      </c>
      <c r="T304" s="3">
        <v>0</v>
      </c>
      <c r="U304" s="3">
        <v>2</v>
      </c>
      <c r="V304" s="3" t="s">
        <v>63</v>
      </c>
      <c r="W304" s="3">
        <v>1</v>
      </c>
      <c r="X304" s="3">
        <v>1</v>
      </c>
      <c r="Y304" s="3">
        <v>2</v>
      </c>
      <c r="Z304" s="3">
        <v>1</v>
      </c>
      <c r="AA304" s="3">
        <v>1</v>
      </c>
      <c r="AB304" s="3">
        <v>1</v>
      </c>
      <c r="AC304" s="3">
        <v>12</v>
      </c>
      <c r="AD304" s="3" t="s">
        <v>0</v>
      </c>
      <c r="AE304" s="3" t="s">
        <v>46</v>
      </c>
    </row>
    <row r="305" spans="1:31" ht="38.25" x14ac:dyDescent="0.2">
      <c r="A305" s="4" t="str">
        <f>HYPERLINK("http://www.patentics.cn/invokexml.do?sf=ShowPatent&amp;spn=CN102269447B&amp;sv=323758c14534c10337bd7a149fe0ab96","CN102269447B")</f>
        <v>CN102269447B</v>
      </c>
      <c r="B305" s="2" t="s">
        <v>1670</v>
      </c>
      <c r="C305" s="2" t="s">
        <v>1671</v>
      </c>
      <c r="D305" s="2" t="s">
        <v>79</v>
      </c>
      <c r="E305" s="2" t="s">
        <v>36</v>
      </c>
      <c r="F305" s="2" t="s">
        <v>1672</v>
      </c>
      <c r="G305" s="2" t="s">
        <v>1673</v>
      </c>
      <c r="H305" s="2" t="s">
        <v>1674</v>
      </c>
      <c r="I305" s="2" t="s">
        <v>1674</v>
      </c>
      <c r="J305" s="2" t="s">
        <v>1663</v>
      </c>
      <c r="K305" s="2" t="s">
        <v>41</v>
      </c>
      <c r="L305" s="2" t="s">
        <v>42</v>
      </c>
      <c r="M305" s="2">
        <v>9</v>
      </c>
      <c r="N305" s="2">
        <v>28</v>
      </c>
      <c r="O305" s="2" t="s">
        <v>43</v>
      </c>
      <c r="P305" s="2" t="s">
        <v>44</v>
      </c>
      <c r="Q305" s="2">
        <v>2</v>
      </c>
      <c r="R305" s="2">
        <v>0</v>
      </c>
      <c r="S305" s="2">
        <v>2</v>
      </c>
      <c r="T305" s="2">
        <v>2</v>
      </c>
      <c r="U305" s="2">
        <v>0</v>
      </c>
      <c r="V305" s="2" t="s">
        <v>45</v>
      </c>
      <c r="W305" s="2">
        <v>0</v>
      </c>
      <c r="X305" s="2">
        <v>0</v>
      </c>
      <c r="Y305" s="2">
        <v>0</v>
      </c>
      <c r="Z305" s="2">
        <v>0</v>
      </c>
      <c r="AA305" s="2">
        <v>1</v>
      </c>
      <c r="AB305" s="2">
        <v>1</v>
      </c>
      <c r="AC305" s="2" t="s">
        <v>0</v>
      </c>
      <c r="AD305" s="2">
        <v>1</v>
      </c>
      <c r="AE305" s="2" t="s">
        <v>46</v>
      </c>
    </row>
    <row r="306" spans="1:31" ht="51" x14ac:dyDescent="0.2">
      <c r="A306" s="5" t="str">
        <f>HYPERLINK("http://www.patentics.cn/invokexml.do?sf=ShowPatent&amp;spn=CN201582948&amp;sv=61ea1fca018eaaf55b18b7d836d2990a","CN201582948")</f>
        <v>CN201582948</v>
      </c>
      <c r="B306" s="3" t="s">
        <v>503</v>
      </c>
      <c r="C306" s="3" t="s">
        <v>504</v>
      </c>
      <c r="D306" s="3" t="s">
        <v>49</v>
      </c>
      <c r="E306" s="3" t="s">
        <v>50</v>
      </c>
      <c r="F306" s="3" t="s">
        <v>505</v>
      </c>
      <c r="G306" s="3" t="s">
        <v>506</v>
      </c>
      <c r="H306" s="3" t="s">
        <v>0</v>
      </c>
      <c r="I306" s="3" t="s">
        <v>507</v>
      </c>
      <c r="J306" s="3" t="s">
        <v>508</v>
      </c>
      <c r="K306" s="3" t="s">
        <v>41</v>
      </c>
      <c r="L306" s="3" t="s">
        <v>91</v>
      </c>
      <c r="M306" s="3">
        <v>10</v>
      </c>
      <c r="N306" s="3">
        <v>18</v>
      </c>
      <c r="O306" s="3" t="s">
        <v>55</v>
      </c>
      <c r="P306" s="3" t="s">
        <v>44</v>
      </c>
      <c r="Q306" s="3">
        <v>0</v>
      </c>
      <c r="R306" s="3">
        <v>0</v>
      </c>
      <c r="S306" s="3">
        <v>0</v>
      </c>
      <c r="T306" s="3">
        <v>0</v>
      </c>
      <c r="U306" s="3">
        <v>9</v>
      </c>
      <c r="V306" s="3" t="s">
        <v>509</v>
      </c>
      <c r="W306" s="3">
        <v>0</v>
      </c>
      <c r="X306" s="3">
        <v>9</v>
      </c>
      <c r="Y306" s="3">
        <v>1</v>
      </c>
      <c r="Z306" s="3">
        <v>1</v>
      </c>
      <c r="AA306" s="3">
        <v>0</v>
      </c>
      <c r="AB306" s="3">
        <v>0</v>
      </c>
      <c r="AC306" s="3">
        <v>12</v>
      </c>
      <c r="AD306" s="3" t="s">
        <v>0</v>
      </c>
      <c r="AE306" s="3" t="s">
        <v>46</v>
      </c>
    </row>
    <row r="307" spans="1:31" ht="25.5" x14ac:dyDescent="0.2">
      <c r="A307" s="4" t="str">
        <f>HYPERLINK("http://www.patentics.cn/invokexml.do?sf=ShowPatent&amp;spn=CN102607169B&amp;sv=37e717828866bec0c828a725548735a7","CN102607169B")</f>
        <v>CN102607169B</v>
      </c>
      <c r="B307" s="2" t="s">
        <v>1675</v>
      </c>
      <c r="C307" s="2" t="s">
        <v>1676</v>
      </c>
      <c r="D307" s="2" t="s">
        <v>246</v>
      </c>
      <c r="E307" s="2" t="s">
        <v>36</v>
      </c>
      <c r="F307" s="2" t="s">
        <v>1041</v>
      </c>
      <c r="G307" s="2" t="s">
        <v>1041</v>
      </c>
      <c r="H307" s="2" t="s">
        <v>1677</v>
      </c>
      <c r="I307" s="2" t="s">
        <v>1677</v>
      </c>
      <c r="J307" s="2" t="s">
        <v>1678</v>
      </c>
      <c r="K307" s="2" t="s">
        <v>1608</v>
      </c>
      <c r="L307" s="2" t="s">
        <v>1679</v>
      </c>
      <c r="M307" s="2">
        <v>3</v>
      </c>
      <c r="N307" s="2">
        <v>30</v>
      </c>
      <c r="O307" s="2" t="s">
        <v>43</v>
      </c>
      <c r="P307" s="2" t="s">
        <v>44</v>
      </c>
      <c r="Q307" s="2">
        <v>6</v>
      </c>
      <c r="R307" s="2">
        <v>0</v>
      </c>
      <c r="S307" s="2">
        <v>6</v>
      </c>
      <c r="T307" s="2">
        <v>6</v>
      </c>
      <c r="U307" s="2">
        <v>0</v>
      </c>
      <c r="V307" s="2" t="s">
        <v>45</v>
      </c>
      <c r="W307" s="2">
        <v>0</v>
      </c>
      <c r="X307" s="2">
        <v>0</v>
      </c>
      <c r="Y307" s="2">
        <v>0</v>
      </c>
      <c r="Z307" s="2">
        <v>0</v>
      </c>
      <c r="AA307" s="2">
        <v>1</v>
      </c>
      <c r="AB307" s="2">
        <v>1</v>
      </c>
      <c r="AC307" s="2" t="s">
        <v>0</v>
      </c>
      <c r="AD307" s="2">
        <v>1</v>
      </c>
      <c r="AE307" s="2" t="s">
        <v>46</v>
      </c>
    </row>
    <row r="308" spans="1:31" ht="25.5" x14ac:dyDescent="0.2">
      <c r="A308" s="5" t="str">
        <f>HYPERLINK("http://www.patentics.cn/invokexml.do?sf=ShowPatent&amp;spn=CN201215389&amp;sv=4b069b750419e41473111ee25a46b19b","CN201215389")</f>
        <v>CN201215389</v>
      </c>
      <c r="B308" s="3" t="s">
        <v>1680</v>
      </c>
      <c r="C308" s="3" t="s">
        <v>1681</v>
      </c>
      <c r="D308" s="3" t="s">
        <v>49</v>
      </c>
      <c r="E308" s="3" t="s">
        <v>50</v>
      </c>
      <c r="F308" s="3" t="s">
        <v>1682</v>
      </c>
      <c r="G308" s="3" t="s">
        <v>1682</v>
      </c>
      <c r="H308" s="3" t="s">
        <v>0</v>
      </c>
      <c r="I308" s="3" t="s">
        <v>97</v>
      </c>
      <c r="J308" s="3" t="s">
        <v>1683</v>
      </c>
      <c r="K308" s="3" t="s">
        <v>1608</v>
      </c>
      <c r="L308" s="3" t="s">
        <v>1679</v>
      </c>
      <c r="M308" s="3">
        <v>6</v>
      </c>
      <c r="N308" s="3">
        <v>26</v>
      </c>
      <c r="O308" s="3" t="s">
        <v>55</v>
      </c>
      <c r="P308" s="3" t="s">
        <v>44</v>
      </c>
      <c r="Q308" s="3">
        <v>0</v>
      </c>
      <c r="R308" s="3">
        <v>0</v>
      </c>
      <c r="S308" s="3">
        <v>0</v>
      </c>
      <c r="T308" s="3">
        <v>0</v>
      </c>
      <c r="U308" s="3">
        <v>1</v>
      </c>
      <c r="V308" s="3" t="s">
        <v>339</v>
      </c>
      <c r="W308" s="3">
        <v>0</v>
      </c>
      <c r="X308" s="3">
        <v>1</v>
      </c>
      <c r="Y308" s="3">
        <v>1</v>
      </c>
      <c r="Z308" s="3">
        <v>1</v>
      </c>
      <c r="AA308" s="3">
        <v>0</v>
      </c>
      <c r="AB308" s="3">
        <v>0</v>
      </c>
      <c r="AC308" s="3">
        <v>12</v>
      </c>
      <c r="AD308" s="3" t="s">
        <v>0</v>
      </c>
      <c r="AE308" s="3" t="s">
        <v>57</v>
      </c>
    </row>
    <row r="309" spans="1:31" ht="38.25" x14ac:dyDescent="0.2">
      <c r="A309" s="4" t="str">
        <f>HYPERLINK("http://www.patentics.cn/invokexml.do?sf=ShowPatent&amp;spn=CN102213463B&amp;sv=58b046ebca35ac37b3f158fa7ac7c6db","CN102213463B")</f>
        <v>CN102213463B</v>
      </c>
      <c r="B309" s="2" t="s">
        <v>1684</v>
      </c>
      <c r="C309" s="2" t="s">
        <v>1685</v>
      </c>
      <c r="D309" s="2" t="s">
        <v>246</v>
      </c>
      <c r="E309" s="2" t="s">
        <v>36</v>
      </c>
      <c r="F309" s="2" t="s">
        <v>1672</v>
      </c>
      <c r="G309" s="2" t="s">
        <v>1673</v>
      </c>
      <c r="H309" s="2" t="s">
        <v>494</v>
      </c>
      <c r="I309" s="2" t="s">
        <v>494</v>
      </c>
      <c r="J309" s="2" t="s">
        <v>1686</v>
      </c>
      <c r="K309" s="2" t="s">
        <v>41</v>
      </c>
      <c r="L309" s="2" t="s">
        <v>42</v>
      </c>
      <c r="M309" s="2">
        <v>9</v>
      </c>
      <c r="N309" s="2">
        <v>31</v>
      </c>
      <c r="O309" s="2" t="s">
        <v>43</v>
      </c>
      <c r="P309" s="2" t="s">
        <v>44</v>
      </c>
      <c r="Q309" s="2">
        <v>1</v>
      </c>
      <c r="R309" s="2">
        <v>0</v>
      </c>
      <c r="S309" s="2">
        <v>1</v>
      </c>
      <c r="T309" s="2">
        <v>1</v>
      </c>
      <c r="U309" s="2">
        <v>0</v>
      </c>
      <c r="V309" s="2" t="s">
        <v>45</v>
      </c>
      <c r="W309" s="2">
        <v>0</v>
      </c>
      <c r="X309" s="2">
        <v>0</v>
      </c>
      <c r="Y309" s="2">
        <v>0</v>
      </c>
      <c r="Z309" s="2">
        <v>0</v>
      </c>
      <c r="AA309" s="2">
        <v>1</v>
      </c>
      <c r="AB309" s="2">
        <v>1</v>
      </c>
      <c r="AC309" s="2" t="s">
        <v>0</v>
      </c>
      <c r="AD309" s="2">
        <v>1</v>
      </c>
      <c r="AE309" s="2" t="s">
        <v>46</v>
      </c>
    </row>
    <row r="310" spans="1:31" ht="51" x14ac:dyDescent="0.2">
      <c r="A310" s="5" t="str">
        <f>HYPERLINK("http://www.patentics.cn/invokexml.do?sf=ShowPatent&amp;spn=CN201582948&amp;sv=61ea1fca018eaaf55b18b7d836d2990a","CN201582948")</f>
        <v>CN201582948</v>
      </c>
      <c r="B310" s="3" t="s">
        <v>503</v>
      </c>
      <c r="C310" s="3" t="s">
        <v>504</v>
      </c>
      <c r="D310" s="3" t="s">
        <v>49</v>
      </c>
      <c r="E310" s="3" t="s">
        <v>50</v>
      </c>
      <c r="F310" s="3" t="s">
        <v>505</v>
      </c>
      <c r="G310" s="3" t="s">
        <v>506</v>
      </c>
      <c r="H310" s="3" t="s">
        <v>0</v>
      </c>
      <c r="I310" s="3" t="s">
        <v>507</v>
      </c>
      <c r="J310" s="3" t="s">
        <v>508</v>
      </c>
      <c r="K310" s="3" t="s">
        <v>41</v>
      </c>
      <c r="L310" s="3" t="s">
        <v>91</v>
      </c>
      <c r="M310" s="3">
        <v>10</v>
      </c>
      <c r="N310" s="3">
        <v>18</v>
      </c>
      <c r="O310" s="3" t="s">
        <v>55</v>
      </c>
      <c r="P310" s="3" t="s">
        <v>44</v>
      </c>
      <c r="Q310" s="3">
        <v>0</v>
      </c>
      <c r="R310" s="3">
        <v>0</v>
      </c>
      <c r="S310" s="3">
        <v>0</v>
      </c>
      <c r="T310" s="3">
        <v>0</v>
      </c>
      <c r="U310" s="3">
        <v>9</v>
      </c>
      <c r="V310" s="3" t="s">
        <v>509</v>
      </c>
      <c r="W310" s="3">
        <v>0</v>
      </c>
      <c r="X310" s="3">
        <v>9</v>
      </c>
      <c r="Y310" s="3">
        <v>1</v>
      </c>
      <c r="Z310" s="3">
        <v>1</v>
      </c>
      <c r="AA310" s="3">
        <v>0</v>
      </c>
      <c r="AB310" s="3">
        <v>0</v>
      </c>
      <c r="AC310" s="3">
        <v>12</v>
      </c>
      <c r="AD310" s="3" t="s">
        <v>0</v>
      </c>
      <c r="AE310" s="3" t="s">
        <v>46</v>
      </c>
    </row>
    <row r="311" spans="1:31" ht="25.5" x14ac:dyDescent="0.2">
      <c r="A311" s="4" t="str">
        <f>HYPERLINK("http://www.patentics.cn/invokexml.do?sf=ShowPatent&amp;spn=CN102419038B&amp;sv=cc7b7d03dbc89e37669f2d58ecb21002","CN102419038B")</f>
        <v>CN102419038B</v>
      </c>
      <c r="B311" s="2" t="s">
        <v>1687</v>
      </c>
      <c r="C311" s="2" t="s">
        <v>1688</v>
      </c>
      <c r="D311" s="2" t="s">
        <v>1078</v>
      </c>
      <c r="E311" s="2" t="s">
        <v>36</v>
      </c>
      <c r="F311" s="2" t="s">
        <v>1689</v>
      </c>
      <c r="G311" s="2" t="s">
        <v>1690</v>
      </c>
      <c r="H311" s="2" t="s">
        <v>1200</v>
      </c>
      <c r="I311" s="2" t="s">
        <v>1200</v>
      </c>
      <c r="J311" s="2" t="s">
        <v>1691</v>
      </c>
      <c r="K311" s="2" t="s">
        <v>347</v>
      </c>
      <c r="L311" s="2" t="s">
        <v>1507</v>
      </c>
      <c r="M311" s="2">
        <v>7</v>
      </c>
      <c r="N311" s="2">
        <v>16</v>
      </c>
      <c r="O311" s="2" t="s">
        <v>43</v>
      </c>
      <c r="P311" s="2" t="s">
        <v>44</v>
      </c>
      <c r="Q311" s="2">
        <v>3</v>
      </c>
      <c r="R311" s="2">
        <v>0</v>
      </c>
      <c r="S311" s="2">
        <v>3</v>
      </c>
      <c r="T311" s="2">
        <v>3</v>
      </c>
      <c r="U311" s="2">
        <v>0</v>
      </c>
      <c r="V311" s="2" t="s">
        <v>45</v>
      </c>
      <c r="W311" s="2">
        <v>0</v>
      </c>
      <c r="X311" s="2">
        <v>0</v>
      </c>
      <c r="Y311" s="2">
        <v>0</v>
      </c>
      <c r="Z311" s="2">
        <v>0</v>
      </c>
      <c r="AA311" s="2">
        <v>1</v>
      </c>
      <c r="AB311" s="2">
        <v>1</v>
      </c>
      <c r="AC311" s="2" t="s">
        <v>0</v>
      </c>
      <c r="AD311" s="2">
        <v>1</v>
      </c>
      <c r="AE311" s="2" t="s">
        <v>46</v>
      </c>
    </row>
    <row r="312" spans="1:31" ht="38.25" x14ac:dyDescent="0.2">
      <c r="A312" s="5" t="str">
        <f>HYPERLINK("http://www.patentics.cn/invokexml.do?sf=ShowPatent&amp;spn=CN200965375&amp;sv=0f8aaf1bda8b9f8fcfb4e101fb6e0069","CN200965375")</f>
        <v>CN200965375</v>
      </c>
      <c r="B312" s="3" t="s">
        <v>1692</v>
      </c>
      <c r="C312" s="3" t="s">
        <v>1693</v>
      </c>
      <c r="D312" s="3" t="s">
        <v>49</v>
      </c>
      <c r="E312" s="3" t="s">
        <v>50</v>
      </c>
      <c r="F312" s="3" t="s">
        <v>1694</v>
      </c>
      <c r="G312" s="3" t="s">
        <v>1695</v>
      </c>
      <c r="H312" s="3" t="s">
        <v>0</v>
      </c>
      <c r="I312" s="3" t="s">
        <v>1696</v>
      </c>
      <c r="J312" s="3" t="s">
        <v>1697</v>
      </c>
      <c r="K312" s="3" t="s">
        <v>347</v>
      </c>
      <c r="L312" s="3" t="s">
        <v>1133</v>
      </c>
      <c r="M312" s="3">
        <v>2</v>
      </c>
      <c r="N312" s="3">
        <v>18</v>
      </c>
      <c r="O312" s="3" t="s">
        <v>55</v>
      </c>
      <c r="P312" s="3" t="s">
        <v>44</v>
      </c>
      <c r="Q312" s="3">
        <v>0</v>
      </c>
      <c r="R312" s="3">
        <v>0</v>
      </c>
      <c r="S312" s="3">
        <v>0</v>
      </c>
      <c r="T312" s="3">
        <v>0</v>
      </c>
      <c r="U312" s="3">
        <v>5</v>
      </c>
      <c r="V312" s="3" t="s">
        <v>1698</v>
      </c>
      <c r="W312" s="3">
        <v>1</v>
      </c>
      <c r="X312" s="3">
        <v>4</v>
      </c>
      <c r="Y312" s="3">
        <v>3</v>
      </c>
      <c r="Z312" s="3">
        <v>1</v>
      </c>
      <c r="AA312" s="3">
        <v>0</v>
      </c>
      <c r="AB312" s="3">
        <v>0</v>
      </c>
      <c r="AC312" s="3">
        <v>12</v>
      </c>
      <c r="AD312" s="3" t="s">
        <v>0</v>
      </c>
      <c r="AE312" s="3" t="s">
        <v>57</v>
      </c>
    </row>
    <row r="313" spans="1:31" ht="25.5" x14ac:dyDescent="0.2">
      <c r="A313" s="4" t="str">
        <f>HYPERLINK("http://www.patentics.cn/invokexml.do?sf=ShowPatent&amp;spn=CN102287891B&amp;sv=ce296772174360c94706acb6e4aac013","CN102287891B")</f>
        <v>CN102287891B</v>
      </c>
      <c r="B313" s="2" t="s">
        <v>1699</v>
      </c>
      <c r="C313" s="2" t="s">
        <v>1700</v>
      </c>
      <c r="D313" s="2" t="s">
        <v>246</v>
      </c>
      <c r="E313" s="2" t="s">
        <v>36</v>
      </c>
      <c r="F313" s="2" t="s">
        <v>1701</v>
      </c>
      <c r="G313" s="2" t="s">
        <v>1702</v>
      </c>
      <c r="H313" s="2" t="s">
        <v>1703</v>
      </c>
      <c r="I313" s="2" t="s">
        <v>1703</v>
      </c>
      <c r="J313" s="2" t="s">
        <v>1691</v>
      </c>
      <c r="K313" s="2" t="s">
        <v>41</v>
      </c>
      <c r="L313" s="2" t="s">
        <v>84</v>
      </c>
      <c r="M313" s="2">
        <v>4</v>
      </c>
      <c r="N313" s="2">
        <v>20</v>
      </c>
      <c r="O313" s="2" t="s">
        <v>43</v>
      </c>
      <c r="P313" s="2" t="s">
        <v>44</v>
      </c>
      <c r="Q313" s="2">
        <v>5</v>
      </c>
      <c r="R313" s="2">
        <v>0</v>
      </c>
      <c r="S313" s="2">
        <v>5</v>
      </c>
      <c r="T313" s="2">
        <v>5</v>
      </c>
      <c r="U313" s="2">
        <v>0</v>
      </c>
      <c r="V313" s="2" t="s">
        <v>45</v>
      </c>
      <c r="W313" s="2">
        <v>0</v>
      </c>
      <c r="X313" s="2">
        <v>0</v>
      </c>
      <c r="Y313" s="2">
        <v>0</v>
      </c>
      <c r="Z313" s="2">
        <v>0</v>
      </c>
      <c r="AA313" s="2">
        <v>1</v>
      </c>
      <c r="AB313" s="2">
        <v>1</v>
      </c>
      <c r="AC313" s="2" t="s">
        <v>0</v>
      </c>
      <c r="AD313" s="2">
        <v>1</v>
      </c>
      <c r="AE313" s="2" t="s">
        <v>46</v>
      </c>
    </row>
    <row r="314" spans="1:31" ht="51" x14ac:dyDescent="0.2">
      <c r="A314" s="5" t="str">
        <f>HYPERLINK("http://www.patentics.cn/invokexml.do?sf=ShowPatent&amp;spn=CN102032642&amp;sv=108a1d63b635c81e249c34e28464dd95","CN102032642")</f>
        <v>CN102032642</v>
      </c>
      <c r="B314" s="3" t="s">
        <v>704</v>
      </c>
      <c r="C314" s="3" t="s">
        <v>705</v>
      </c>
      <c r="D314" s="3" t="s">
        <v>49</v>
      </c>
      <c r="E314" s="3" t="s">
        <v>50</v>
      </c>
      <c r="F314" s="3" t="s">
        <v>706</v>
      </c>
      <c r="G314" s="3" t="s">
        <v>506</v>
      </c>
      <c r="H314" s="3" t="s">
        <v>707</v>
      </c>
      <c r="I314" s="3" t="s">
        <v>707</v>
      </c>
      <c r="J314" s="3" t="s">
        <v>708</v>
      </c>
      <c r="K314" s="3" t="s">
        <v>41</v>
      </c>
      <c r="L314" s="3" t="s">
        <v>84</v>
      </c>
      <c r="M314" s="3">
        <v>9</v>
      </c>
      <c r="N314" s="3">
        <v>19</v>
      </c>
      <c r="O314" s="3" t="s">
        <v>75</v>
      </c>
      <c r="P314" s="3" t="s">
        <v>44</v>
      </c>
      <c r="Q314" s="3">
        <v>0</v>
      </c>
      <c r="R314" s="3">
        <v>0</v>
      </c>
      <c r="S314" s="3">
        <v>0</v>
      </c>
      <c r="T314" s="3">
        <v>0</v>
      </c>
      <c r="U314" s="3">
        <v>5</v>
      </c>
      <c r="V314" s="3" t="s">
        <v>709</v>
      </c>
      <c r="W314" s="3">
        <v>1</v>
      </c>
      <c r="X314" s="3">
        <v>4</v>
      </c>
      <c r="Y314" s="3">
        <v>2</v>
      </c>
      <c r="Z314" s="3">
        <v>1</v>
      </c>
      <c r="AA314" s="3">
        <v>1</v>
      </c>
      <c r="AB314" s="3">
        <v>1</v>
      </c>
      <c r="AC314" s="3">
        <v>12</v>
      </c>
      <c r="AD314" s="3" t="s">
        <v>0</v>
      </c>
      <c r="AE314" s="3" t="s">
        <v>46</v>
      </c>
    </row>
    <row r="315" spans="1:31" ht="25.5" x14ac:dyDescent="0.2">
      <c r="A315" s="4" t="str">
        <f>HYPERLINK("http://www.patentics.cn/invokexml.do?sf=ShowPatent&amp;spn=CN102226567B&amp;sv=11683bb5834bceb159c1db5b9c473b39","CN102226567B")</f>
        <v>CN102226567B</v>
      </c>
      <c r="B315" s="2" t="s">
        <v>1704</v>
      </c>
      <c r="C315" s="2" t="s">
        <v>1705</v>
      </c>
      <c r="D315" s="2" t="s">
        <v>1706</v>
      </c>
      <c r="E315" s="2" t="s">
        <v>36</v>
      </c>
      <c r="F315" s="2" t="s">
        <v>1707</v>
      </c>
      <c r="G315" s="2" t="s">
        <v>1707</v>
      </c>
      <c r="H315" s="2" t="s">
        <v>1708</v>
      </c>
      <c r="I315" s="2" t="s">
        <v>1708</v>
      </c>
      <c r="J315" s="2" t="s">
        <v>1691</v>
      </c>
      <c r="K315" s="2" t="s">
        <v>41</v>
      </c>
      <c r="L315" s="2" t="s">
        <v>671</v>
      </c>
      <c r="M315" s="2">
        <v>7</v>
      </c>
      <c r="N315" s="2">
        <v>33</v>
      </c>
      <c r="O315" s="2" t="s">
        <v>43</v>
      </c>
      <c r="P315" s="2" t="s">
        <v>44</v>
      </c>
      <c r="Q315" s="2">
        <v>4</v>
      </c>
      <c r="R315" s="2">
        <v>1</v>
      </c>
      <c r="S315" s="2">
        <v>3</v>
      </c>
      <c r="T315" s="2">
        <v>4</v>
      </c>
      <c r="U315" s="2">
        <v>0</v>
      </c>
      <c r="V315" s="2" t="s">
        <v>45</v>
      </c>
      <c r="W315" s="2">
        <v>0</v>
      </c>
      <c r="X315" s="2">
        <v>0</v>
      </c>
      <c r="Y315" s="2">
        <v>0</v>
      </c>
      <c r="Z315" s="2">
        <v>0</v>
      </c>
      <c r="AA315" s="2">
        <v>1</v>
      </c>
      <c r="AB315" s="2">
        <v>1</v>
      </c>
      <c r="AC315" s="2" t="s">
        <v>0</v>
      </c>
      <c r="AD315" s="2">
        <v>1</v>
      </c>
      <c r="AE315" s="2" t="s">
        <v>46</v>
      </c>
    </row>
    <row r="316" spans="1:31" ht="51" x14ac:dyDescent="0.2">
      <c r="A316" s="5" t="str">
        <f>HYPERLINK("http://www.patentics.cn/invokexml.do?sf=ShowPatent&amp;spn=CN201438021&amp;sv=9fafa40d067c32547e5c8454901f4615","CN201438021")</f>
        <v>CN201438021</v>
      </c>
      <c r="B316" s="3" t="s">
        <v>1709</v>
      </c>
      <c r="C316" s="3" t="s">
        <v>1710</v>
      </c>
      <c r="D316" s="3" t="s">
        <v>49</v>
      </c>
      <c r="E316" s="3" t="s">
        <v>50</v>
      </c>
      <c r="F316" s="3" t="s">
        <v>1711</v>
      </c>
      <c r="G316" s="3" t="s">
        <v>506</v>
      </c>
      <c r="H316" s="3" t="s">
        <v>0</v>
      </c>
      <c r="I316" s="3" t="s">
        <v>1712</v>
      </c>
      <c r="J316" s="3" t="s">
        <v>1713</v>
      </c>
      <c r="K316" s="3" t="s">
        <v>41</v>
      </c>
      <c r="L316" s="3" t="s">
        <v>91</v>
      </c>
      <c r="M316" s="3">
        <v>8</v>
      </c>
      <c r="N316" s="3">
        <v>17</v>
      </c>
      <c r="O316" s="3" t="s">
        <v>55</v>
      </c>
      <c r="P316" s="3" t="s">
        <v>44</v>
      </c>
      <c r="Q316" s="3">
        <v>0</v>
      </c>
      <c r="R316" s="3">
        <v>0</v>
      </c>
      <c r="S316" s="3">
        <v>0</v>
      </c>
      <c r="T316" s="3">
        <v>0</v>
      </c>
      <c r="U316" s="3">
        <v>3</v>
      </c>
      <c r="V316" s="3" t="s">
        <v>1714</v>
      </c>
      <c r="W316" s="3">
        <v>2</v>
      </c>
      <c r="X316" s="3">
        <v>1</v>
      </c>
      <c r="Y316" s="3">
        <v>2</v>
      </c>
      <c r="Z316" s="3">
        <v>2</v>
      </c>
      <c r="AA316" s="3">
        <v>0</v>
      </c>
      <c r="AB316" s="3">
        <v>0</v>
      </c>
      <c r="AC316" s="3">
        <v>12</v>
      </c>
      <c r="AD316" s="3" t="s">
        <v>0</v>
      </c>
      <c r="AE316" s="3" t="s">
        <v>46</v>
      </c>
    </row>
    <row r="317" spans="1:31" ht="76.5" x14ac:dyDescent="0.2">
      <c r="A317" s="4" t="str">
        <f>HYPERLINK("http://www.patentics.cn/invokexml.do?sf=ShowPatent&amp;spn=CN102425824B&amp;sv=da795d5ab8400b4b6ff4d4c5e28bce53","CN102425824B")</f>
        <v>CN102425824B</v>
      </c>
      <c r="B317" s="2" t="s">
        <v>1715</v>
      </c>
      <c r="C317" s="2" t="s">
        <v>1716</v>
      </c>
      <c r="D317" s="2" t="s">
        <v>246</v>
      </c>
      <c r="E317" s="2" t="s">
        <v>36</v>
      </c>
      <c r="F317" s="2" t="s">
        <v>1717</v>
      </c>
      <c r="G317" s="2" t="s">
        <v>1690</v>
      </c>
      <c r="H317" s="2" t="s">
        <v>1718</v>
      </c>
      <c r="I317" s="2" t="s">
        <v>1718</v>
      </c>
      <c r="J317" s="2" t="s">
        <v>495</v>
      </c>
      <c r="K317" s="2" t="s">
        <v>41</v>
      </c>
      <c r="L317" s="2" t="s">
        <v>1455</v>
      </c>
      <c r="M317" s="2">
        <v>7</v>
      </c>
      <c r="N317" s="2">
        <v>17</v>
      </c>
      <c r="O317" s="2" t="s">
        <v>43</v>
      </c>
      <c r="P317" s="2" t="s">
        <v>44</v>
      </c>
      <c r="Q317" s="2">
        <v>3</v>
      </c>
      <c r="R317" s="2">
        <v>2</v>
      </c>
      <c r="S317" s="2">
        <v>1</v>
      </c>
      <c r="T317" s="2">
        <v>2</v>
      </c>
      <c r="U317" s="2">
        <v>0</v>
      </c>
      <c r="V317" s="2" t="s">
        <v>45</v>
      </c>
      <c r="W317" s="2">
        <v>0</v>
      </c>
      <c r="X317" s="2">
        <v>0</v>
      </c>
      <c r="Y317" s="2">
        <v>0</v>
      </c>
      <c r="Z317" s="2">
        <v>0</v>
      </c>
      <c r="AA317" s="2">
        <v>1</v>
      </c>
      <c r="AB317" s="2">
        <v>1</v>
      </c>
      <c r="AC317" s="2" t="s">
        <v>0</v>
      </c>
      <c r="AD317" s="2">
        <v>1</v>
      </c>
      <c r="AE317" s="2" t="s">
        <v>46</v>
      </c>
    </row>
    <row r="318" spans="1:31" ht="51" x14ac:dyDescent="0.2">
      <c r="A318" s="5" t="str">
        <f>HYPERLINK("http://www.patentics.cn/invokexml.do?sf=ShowPatent&amp;spn=CN201028895&amp;sv=ed44dc2a6359bfe57f0f9d797d94959b","CN201028895")</f>
        <v>CN201028895</v>
      </c>
      <c r="B318" s="3" t="s">
        <v>1719</v>
      </c>
      <c r="C318" s="3" t="s">
        <v>1720</v>
      </c>
      <c r="D318" s="3" t="s">
        <v>49</v>
      </c>
      <c r="E318" s="3" t="s">
        <v>50</v>
      </c>
      <c r="F318" s="3" t="s">
        <v>1721</v>
      </c>
      <c r="G318" s="3" t="s">
        <v>486</v>
      </c>
      <c r="H318" s="3" t="s">
        <v>0</v>
      </c>
      <c r="I318" s="3" t="s">
        <v>1722</v>
      </c>
      <c r="J318" s="3" t="s">
        <v>1513</v>
      </c>
      <c r="K318" s="3" t="s">
        <v>347</v>
      </c>
      <c r="L318" s="3" t="s">
        <v>385</v>
      </c>
      <c r="M318" s="3">
        <v>7</v>
      </c>
      <c r="N318" s="3">
        <v>12</v>
      </c>
      <c r="O318" s="3" t="s">
        <v>55</v>
      </c>
      <c r="P318" s="3" t="s">
        <v>44</v>
      </c>
      <c r="Q318" s="3">
        <v>0</v>
      </c>
      <c r="R318" s="3">
        <v>0</v>
      </c>
      <c r="S318" s="3">
        <v>0</v>
      </c>
      <c r="T318" s="3">
        <v>0</v>
      </c>
      <c r="U318" s="3">
        <v>1</v>
      </c>
      <c r="V318" s="3" t="s">
        <v>256</v>
      </c>
      <c r="W318" s="3">
        <v>0</v>
      </c>
      <c r="X318" s="3">
        <v>1</v>
      </c>
      <c r="Y318" s="3">
        <v>1</v>
      </c>
      <c r="Z318" s="3">
        <v>1</v>
      </c>
      <c r="AA318" s="3">
        <v>0</v>
      </c>
      <c r="AB318" s="3">
        <v>0</v>
      </c>
      <c r="AC318" s="3">
        <v>12</v>
      </c>
      <c r="AD318" s="3" t="s">
        <v>0</v>
      </c>
      <c r="AE318" s="3" t="s">
        <v>46</v>
      </c>
    </row>
    <row r="319" spans="1:31" ht="25.5" x14ac:dyDescent="0.2">
      <c r="A319" s="4" t="str">
        <f>HYPERLINK("http://www.patentics.cn/invokexml.do?sf=ShowPatent&amp;spn=CN102230694B&amp;sv=2033521ea2562159c5197a3114133cbe","CN102230694B")</f>
        <v>CN102230694B</v>
      </c>
      <c r="B319" s="2" t="s">
        <v>1723</v>
      </c>
      <c r="C319" s="2" t="s">
        <v>1724</v>
      </c>
      <c r="D319" s="2" t="s">
        <v>246</v>
      </c>
      <c r="E319" s="2" t="s">
        <v>36</v>
      </c>
      <c r="F319" s="2" t="s">
        <v>1010</v>
      </c>
      <c r="G319" s="2" t="s">
        <v>531</v>
      </c>
      <c r="H319" s="2" t="s">
        <v>1725</v>
      </c>
      <c r="I319" s="2" t="s">
        <v>1725</v>
      </c>
      <c r="J319" s="2" t="s">
        <v>1726</v>
      </c>
      <c r="K319" s="2" t="s">
        <v>347</v>
      </c>
      <c r="L319" s="2" t="s">
        <v>1011</v>
      </c>
      <c r="M319" s="2">
        <v>5</v>
      </c>
      <c r="N319" s="2">
        <v>23</v>
      </c>
      <c r="O319" s="2" t="s">
        <v>43</v>
      </c>
      <c r="P319" s="2" t="s">
        <v>44</v>
      </c>
      <c r="Q319" s="2">
        <v>3</v>
      </c>
      <c r="R319" s="2">
        <v>0</v>
      </c>
      <c r="S319" s="2">
        <v>3</v>
      </c>
      <c r="T319" s="2">
        <v>3</v>
      </c>
      <c r="U319" s="2">
        <v>0</v>
      </c>
      <c r="V319" s="2" t="s">
        <v>45</v>
      </c>
      <c r="W319" s="2">
        <v>0</v>
      </c>
      <c r="X319" s="2">
        <v>0</v>
      </c>
      <c r="Y319" s="2">
        <v>0</v>
      </c>
      <c r="Z319" s="2">
        <v>0</v>
      </c>
      <c r="AA319" s="2">
        <v>1</v>
      </c>
      <c r="AB319" s="2">
        <v>1</v>
      </c>
      <c r="AC319" s="2" t="s">
        <v>0</v>
      </c>
      <c r="AD319" s="2">
        <v>1</v>
      </c>
      <c r="AE319" s="2" t="s">
        <v>46</v>
      </c>
    </row>
    <row r="320" spans="1:31" ht="25.5" x14ac:dyDescent="0.2">
      <c r="A320" s="5" t="str">
        <f>HYPERLINK("http://www.patentics.cn/invokexml.do?sf=ShowPatent&amp;spn=CN201876184&amp;sv=218832072ef095f19b1721b94350c7ea","CN201876184")</f>
        <v>CN201876184</v>
      </c>
      <c r="B320" s="3" t="s">
        <v>1012</v>
      </c>
      <c r="C320" s="3" t="s">
        <v>1013</v>
      </c>
      <c r="D320" s="3" t="s">
        <v>49</v>
      </c>
      <c r="E320" s="3" t="s">
        <v>50</v>
      </c>
      <c r="F320" s="3" t="s">
        <v>1014</v>
      </c>
      <c r="G320" s="3" t="s">
        <v>1015</v>
      </c>
      <c r="H320" s="3" t="s">
        <v>0</v>
      </c>
      <c r="I320" s="3" t="s">
        <v>90</v>
      </c>
      <c r="J320" s="3" t="s">
        <v>1016</v>
      </c>
      <c r="K320" s="3" t="s">
        <v>1017</v>
      </c>
      <c r="L320" s="3" t="s">
        <v>1018</v>
      </c>
      <c r="M320" s="3">
        <v>10</v>
      </c>
      <c r="N320" s="3">
        <v>8</v>
      </c>
      <c r="O320" s="3" t="s">
        <v>55</v>
      </c>
      <c r="P320" s="3" t="s">
        <v>44</v>
      </c>
      <c r="Q320" s="3">
        <v>0</v>
      </c>
      <c r="R320" s="3">
        <v>0</v>
      </c>
      <c r="S320" s="3">
        <v>0</v>
      </c>
      <c r="T320" s="3">
        <v>0</v>
      </c>
      <c r="U320" s="3">
        <v>10</v>
      </c>
      <c r="V320" s="3" t="s">
        <v>1019</v>
      </c>
      <c r="W320" s="3">
        <v>0</v>
      </c>
      <c r="X320" s="3">
        <v>10</v>
      </c>
      <c r="Y320" s="3">
        <v>3</v>
      </c>
      <c r="Z320" s="3">
        <v>1</v>
      </c>
      <c r="AA320" s="3">
        <v>0</v>
      </c>
      <c r="AB320" s="3">
        <v>0</v>
      </c>
      <c r="AC320" s="3">
        <v>12</v>
      </c>
      <c r="AD320" s="3" t="s">
        <v>0</v>
      </c>
      <c r="AE320" s="3" t="s">
        <v>46</v>
      </c>
    </row>
    <row r="321" spans="1:31" ht="25.5" x14ac:dyDescent="0.2">
      <c r="A321" s="4" t="str">
        <f>HYPERLINK("http://www.patentics.cn/invokexml.do?sf=ShowPatent&amp;spn=CN102230693B&amp;sv=9553e78a24c2c316e32d9ec155de5354","CN102230693B")</f>
        <v>CN102230693B</v>
      </c>
      <c r="B321" s="2" t="s">
        <v>1727</v>
      </c>
      <c r="C321" s="2" t="s">
        <v>1728</v>
      </c>
      <c r="D321" s="2" t="s">
        <v>246</v>
      </c>
      <c r="E321" s="2" t="s">
        <v>36</v>
      </c>
      <c r="F321" s="2" t="s">
        <v>1010</v>
      </c>
      <c r="G321" s="2" t="s">
        <v>531</v>
      </c>
      <c r="H321" s="2" t="s">
        <v>1725</v>
      </c>
      <c r="I321" s="2" t="s">
        <v>1725</v>
      </c>
      <c r="J321" s="2" t="s">
        <v>1726</v>
      </c>
      <c r="K321" s="2" t="s">
        <v>347</v>
      </c>
      <c r="L321" s="2" t="s">
        <v>1011</v>
      </c>
      <c r="M321" s="2">
        <v>5</v>
      </c>
      <c r="N321" s="2">
        <v>21</v>
      </c>
      <c r="O321" s="2" t="s">
        <v>43</v>
      </c>
      <c r="P321" s="2" t="s">
        <v>44</v>
      </c>
      <c r="Q321" s="2">
        <v>4</v>
      </c>
      <c r="R321" s="2">
        <v>0</v>
      </c>
      <c r="S321" s="2">
        <v>4</v>
      </c>
      <c r="T321" s="2">
        <v>4</v>
      </c>
      <c r="U321" s="2">
        <v>1</v>
      </c>
      <c r="V321" s="2" t="s">
        <v>224</v>
      </c>
      <c r="W321" s="2">
        <v>0</v>
      </c>
      <c r="X321" s="2">
        <v>1</v>
      </c>
      <c r="Y321" s="2">
        <v>1</v>
      </c>
      <c r="Z321" s="2">
        <v>1</v>
      </c>
      <c r="AA321" s="2">
        <v>1</v>
      </c>
      <c r="AB321" s="2">
        <v>1</v>
      </c>
      <c r="AC321" s="2" t="s">
        <v>0</v>
      </c>
      <c r="AD321" s="2">
        <v>1</v>
      </c>
      <c r="AE321" s="2" t="s">
        <v>46</v>
      </c>
    </row>
    <row r="322" spans="1:31" ht="25.5" x14ac:dyDescent="0.2">
      <c r="A322" s="5" t="str">
        <f>HYPERLINK("http://www.patentics.cn/invokexml.do?sf=ShowPatent&amp;spn=CN201876184&amp;sv=218832072ef095f19b1721b94350c7ea","CN201876184")</f>
        <v>CN201876184</v>
      </c>
      <c r="B322" s="3" t="s">
        <v>1012</v>
      </c>
      <c r="C322" s="3" t="s">
        <v>1013</v>
      </c>
      <c r="D322" s="3" t="s">
        <v>49</v>
      </c>
      <c r="E322" s="3" t="s">
        <v>50</v>
      </c>
      <c r="F322" s="3" t="s">
        <v>1014</v>
      </c>
      <c r="G322" s="3" t="s">
        <v>1015</v>
      </c>
      <c r="H322" s="3" t="s">
        <v>0</v>
      </c>
      <c r="I322" s="3" t="s">
        <v>90</v>
      </c>
      <c r="J322" s="3" t="s">
        <v>1016</v>
      </c>
      <c r="K322" s="3" t="s">
        <v>1017</v>
      </c>
      <c r="L322" s="3" t="s">
        <v>1018</v>
      </c>
      <c r="M322" s="3">
        <v>10</v>
      </c>
      <c r="N322" s="3">
        <v>8</v>
      </c>
      <c r="O322" s="3" t="s">
        <v>55</v>
      </c>
      <c r="P322" s="3" t="s">
        <v>44</v>
      </c>
      <c r="Q322" s="3">
        <v>0</v>
      </c>
      <c r="R322" s="3">
        <v>0</v>
      </c>
      <c r="S322" s="3">
        <v>0</v>
      </c>
      <c r="T322" s="3">
        <v>0</v>
      </c>
      <c r="U322" s="3">
        <v>10</v>
      </c>
      <c r="V322" s="3" t="s">
        <v>1019</v>
      </c>
      <c r="W322" s="3">
        <v>0</v>
      </c>
      <c r="X322" s="3">
        <v>10</v>
      </c>
      <c r="Y322" s="3">
        <v>3</v>
      </c>
      <c r="Z322" s="3">
        <v>1</v>
      </c>
      <c r="AA322" s="3">
        <v>0</v>
      </c>
      <c r="AB322" s="3">
        <v>0</v>
      </c>
      <c r="AC322" s="3">
        <v>12</v>
      </c>
      <c r="AD322" s="3" t="s">
        <v>0</v>
      </c>
      <c r="AE322" s="3" t="s">
        <v>46</v>
      </c>
    </row>
    <row r="323" spans="1:31" ht="38.25" x14ac:dyDescent="0.2">
      <c r="A323" s="4" t="str">
        <f>HYPERLINK("http://www.patentics.cn/invokexml.do?sf=ShowPatent&amp;spn=CN102012134B&amp;sv=02156f34e4286e463cc1eadc42dcecd2","CN102012134B")</f>
        <v>CN102012134B</v>
      </c>
      <c r="B323" s="2" t="s">
        <v>1729</v>
      </c>
      <c r="C323" s="2" t="s">
        <v>1730</v>
      </c>
      <c r="D323" s="2" t="s">
        <v>35</v>
      </c>
      <c r="E323" s="2" t="s">
        <v>36</v>
      </c>
      <c r="F323" s="2" t="s">
        <v>1731</v>
      </c>
      <c r="G323" s="2" t="s">
        <v>1415</v>
      </c>
      <c r="H323" s="2" t="s">
        <v>1732</v>
      </c>
      <c r="I323" s="2" t="s">
        <v>1732</v>
      </c>
      <c r="J323" s="2" t="s">
        <v>1726</v>
      </c>
      <c r="K323" s="2" t="s">
        <v>347</v>
      </c>
      <c r="L323" s="2" t="s">
        <v>1011</v>
      </c>
      <c r="M323" s="2">
        <v>9</v>
      </c>
      <c r="N323" s="2">
        <v>17</v>
      </c>
      <c r="O323" s="2" t="s">
        <v>43</v>
      </c>
      <c r="P323" s="2" t="s">
        <v>44</v>
      </c>
      <c r="Q323" s="2">
        <v>6</v>
      </c>
      <c r="R323" s="2">
        <v>2</v>
      </c>
      <c r="S323" s="2">
        <v>4</v>
      </c>
      <c r="T323" s="2">
        <v>4</v>
      </c>
      <c r="U323" s="2">
        <v>0</v>
      </c>
      <c r="V323" s="2" t="s">
        <v>45</v>
      </c>
      <c r="W323" s="2">
        <v>0</v>
      </c>
      <c r="X323" s="2">
        <v>0</v>
      </c>
      <c r="Y323" s="2">
        <v>0</v>
      </c>
      <c r="Z323" s="2">
        <v>0</v>
      </c>
      <c r="AA323" s="2">
        <v>1</v>
      </c>
      <c r="AB323" s="2">
        <v>1</v>
      </c>
      <c r="AC323" s="2" t="s">
        <v>0</v>
      </c>
      <c r="AD323" s="2">
        <v>1</v>
      </c>
      <c r="AE323" s="2" t="s">
        <v>46</v>
      </c>
    </row>
    <row r="324" spans="1:31" ht="25.5" x14ac:dyDescent="0.2">
      <c r="A324" s="5" t="str">
        <f>HYPERLINK("http://www.patentics.cn/invokexml.do?sf=ShowPatent&amp;spn=CN101038134&amp;sv=618b069c2265cd84043cf5fbc64851ba","CN101038134")</f>
        <v>CN101038134</v>
      </c>
      <c r="B324" s="3" t="s">
        <v>1733</v>
      </c>
      <c r="C324" s="3" t="s">
        <v>1734</v>
      </c>
      <c r="D324" s="3" t="s">
        <v>49</v>
      </c>
      <c r="E324" s="3" t="s">
        <v>50</v>
      </c>
      <c r="F324" s="3" t="s">
        <v>1735</v>
      </c>
      <c r="G324" s="3" t="s">
        <v>1015</v>
      </c>
      <c r="H324" s="3" t="s">
        <v>576</v>
      </c>
      <c r="I324" s="3" t="s">
        <v>576</v>
      </c>
      <c r="J324" s="3" t="s">
        <v>1736</v>
      </c>
      <c r="K324" s="3" t="s">
        <v>1211</v>
      </c>
      <c r="L324" s="3" t="s">
        <v>1737</v>
      </c>
      <c r="M324" s="3">
        <v>6</v>
      </c>
      <c r="N324" s="3">
        <v>19</v>
      </c>
      <c r="O324" s="3" t="s">
        <v>75</v>
      </c>
      <c r="P324" s="3" t="s">
        <v>44</v>
      </c>
      <c r="Q324" s="3">
        <v>2</v>
      </c>
      <c r="R324" s="3">
        <v>1</v>
      </c>
      <c r="S324" s="3">
        <v>1</v>
      </c>
      <c r="T324" s="3">
        <v>2</v>
      </c>
      <c r="U324" s="3">
        <v>3</v>
      </c>
      <c r="V324" s="3" t="s">
        <v>1738</v>
      </c>
      <c r="W324" s="3">
        <v>0</v>
      </c>
      <c r="X324" s="3">
        <v>3</v>
      </c>
      <c r="Y324" s="3">
        <v>3</v>
      </c>
      <c r="Z324" s="3">
        <v>1</v>
      </c>
      <c r="AA324" s="3">
        <v>1</v>
      </c>
      <c r="AB324" s="3">
        <v>1</v>
      </c>
      <c r="AC324" s="3">
        <v>12</v>
      </c>
      <c r="AD324" s="3" t="s">
        <v>0</v>
      </c>
      <c r="AE324" s="3" t="s">
        <v>46</v>
      </c>
    </row>
    <row r="325" spans="1:31" ht="25.5" x14ac:dyDescent="0.2">
      <c r="A325" s="4" t="str">
        <f>HYPERLINK("http://www.patentics.cn/invokexml.do?sf=ShowPatent&amp;spn=CN102012082B&amp;sv=9d96b549e098cfb7ad22913d8906dc84","CN102012082B")</f>
        <v>CN102012082B</v>
      </c>
      <c r="B325" s="2" t="s">
        <v>1739</v>
      </c>
      <c r="C325" s="2" t="s">
        <v>1740</v>
      </c>
      <c r="D325" s="2" t="s">
        <v>246</v>
      </c>
      <c r="E325" s="2" t="s">
        <v>36</v>
      </c>
      <c r="F325" s="2" t="s">
        <v>1741</v>
      </c>
      <c r="G325" s="2" t="s">
        <v>247</v>
      </c>
      <c r="H325" s="2" t="s">
        <v>248</v>
      </c>
      <c r="I325" s="2" t="s">
        <v>248</v>
      </c>
      <c r="J325" s="2" t="s">
        <v>1742</v>
      </c>
      <c r="K325" s="2" t="s">
        <v>41</v>
      </c>
      <c r="L325" s="2" t="s">
        <v>1743</v>
      </c>
      <c r="M325" s="2">
        <v>9</v>
      </c>
      <c r="N325" s="2">
        <v>19</v>
      </c>
      <c r="O325" s="2" t="s">
        <v>43</v>
      </c>
      <c r="P325" s="2" t="s">
        <v>44</v>
      </c>
      <c r="Q325" s="2">
        <v>5</v>
      </c>
      <c r="R325" s="2">
        <v>0</v>
      </c>
      <c r="S325" s="2">
        <v>5</v>
      </c>
      <c r="T325" s="2">
        <v>3</v>
      </c>
      <c r="U325" s="2">
        <v>0</v>
      </c>
      <c r="V325" s="2" t="s">
        <v>45</v>
      </c>
      <c r="W325" s="2">
        <v>0</v>
      </c>
      <c r="X325" s="2">
        <v>0</v>
      </c>
      <c r="Y325" s="2">
        <v>0</v>
      </c>
      <c r="Z325" s="2">
        <v>0</v>
      </c>
      <c r="AA325" s="2">
        <v>1</v>
      </c>
      <c r="AB325" s="2">
        <v>1</v>
      </c>
      <c r="AC325" s="2" t="s">
        <v>0</v>
      </c>
      <c r="AD325" s="2">
        <v>1</v>
      </c>
      <c r="AE325" s="2" t="s">
        <v>46</v>
      </c>
    </row>
    <row r="326" spans="1:31" ht="38.25" x14ac:dyDescent="0.2">
      <c r="A326" s="5" t="str">
        <f>HYPERLINK("http://www.patentics.cn/invokexml.do?sf=ShowPatent&amp;spn=CN2418412&amp;sv=a95f55386e1550eaa0a29b62364d2339","CN2418412")</f>
        <v>CN2418412</v>
      </c>
      <c r="B326" s="3" t="s">
        <v>1744</v>
      </c>
      <c r="C326" s="3" t="s">
        <v>1745</v>
      </c>
      <c r="D326" s="3" t="s">
        <v>49</v>
      </c>
      <c r="E326" s="3" t="s">
        <v>50</v>
      </c>
      <c r="F326" s="3" t="s">
        <v>1746</v>
      </c>
      <c r="G326" s="3" t="s">
        <v>264</v>
      </c>
      <c r="H326" s="3" t="s">
        <v>1747</v>
      </c>
      <c r="I326" s="3" t="s">
        <v>1747</v>
      </c>
      <c r="J326" s="3" t="s">
        <v>1748</v>
      </c>
      <c r="K326" s="3" t="s">
        <v>41</v>
      </c>
      <c r="L326" s="3" t="s">
        <v>1743</v>
      </c>
      <c r="M326" s="3">
        <v>6</v>
      </c>
      <c r="N326" s="3">
        <v>11</v>
      </c>
      <c r="O326" s="3" t="s">
        <v>55</v>
      </c>
      <c r="P326" s="3" t="s">
        <v>44</v>
      </c>
      <c r="Q326" s="3">
        <v>0</v>
      </c>
      <c r="R326" s="3">
        <v>0</v>
      </c>
      <c r="S326" s="3">
        <v>0</v>
      </c>
      <c r="T326" s="3">
        <v>0</v>
      </c>
      <c r="U326" s="3">
        <v>1</v>
      </c>
      <c r="V326" s="3" t="s">
        <v>224</v>
      </c>
      <c r="W326" s="3">
        <v>0</v>
      </c>
      <c r="X326" s="3">
        <v>1</v>
      </c>
      <c r="Y326" s="3">
        <v>1</v>
      </c>
      <c r="Z326" s="3">
        <v>1</v>
      </c>
      <c r="AA326" s="3">
        <v>0</v>
      </c>
      <c r="AB326" s="3">
        <v>0</v>
      </c>
      <c r="AC326" s="3">
        <v>12</v>
      </c>
      <c r="AD326" s="3" t="s">
        <v>0</v>
      </c>
      <c r="AE326" s="3" t="s">
        <v>57</v>
      </c>
    </row>
    <row r="327" spans="1:31" ht="25.5" x14ac:dyDescent="0.2">
      <c r="A327" s="4" t="str">
        <f>HYPERLINK("http://www.patentics.cn/invokexml.do?sf=ShowPatent&amp;spn=CN102230695B&amp;sv=bdd64cbc4364b996439a5db11cbafd88","CN102230695B")</f>
        <v>CN102230695B</v>
      </c>
      <c r="B327" s="2" t="s">
        <v>1749</v>
      </c>
      <c r="C327" s="2" t="s">
        <v>1413</v>
      </c>
      <c r="D327" s="2" t="s">
        <v>246</v>
      </c>
      <c r="E327" s="2" t="s">
        <v>36</v>
      </c>
      <c r="F327" s="2" t="s">
        <v>1010</v>
      </c>
      <c r="G327" s="2" t="s">
        <v>531</v>
      </c>
      <c r="H327" s="2" t="s">
        <v>1725</v>
      </c>
      <c r="I327" s="2" t="s">
        <v>1725</v>
      </c>
      <c r="J327" s="2" t="s">
        <v>383</v>
      </c>
      <c r="K327" s="2" t="s">
        <v>347</v>
      </c>
      <c r="L327" s="2" t="s">
        <v>1011</v>
      </c>
      <c r="M327" s="2">
        <v>8</v>
      </c>
      <c r="N327" s="2">
        <v>16</v>
      </c>
      <c r="O327" s="2" t="s">
        <v>43</v>
      </c>
      <c r="P327" s="2" t="s">
        <v>44</v>
      </c>
      <c r="Q327" s="2">
        <v>3</v>
      </c>
      <c r="R327" s="2">
        <v>0</v>
      </c>
      <c r="S327" s="2">
        <v>3</v>
      </c>
      <c r="T327" s="2">
        <v>3</v>
      </c>
      <c r="U327" s="2">
        <v>0</v>
      </c>
      <c r="V327" s="2" t="s">
        <v>45</v>
      </c>
      <c r="W327" s="2">
        <v>0</v>
      </c>
      <c r="X327" s="2">
        <v>0</v>
      </c>
      <c r="Y327" s="2">
        <v>0</v>
      </c>
      <c r="Z327" s="2">
        <v>0</v>
      </c>
      <c r="AA327" s="2">
        <v>1</v>
      </c>
      <c r="AB327" s="2">
        <v>1</v>
      </c>
      <c r="AC327" s="2" t="s">
        <v>0</v>
      </c>
      <c r="AD327" s="2">
        <v>1</v>
      </c>
      <c r="AE327" s="2" t="s">
        <v>46</v>
      </c>
    </row>
    <row r="328" spans="1:31" ht="25.5" x14ac:dyDescent="0.2">
      <c r="A328" s="5" t="str">
        <f>HYPERLINK("http://www.patentics.cn/invokexml.do?sf=ShowPatent&amp;spn=CN201876184&amp;sv=218832072ef095f19b1721b94350c7ea","CN201876184")</f>
        <v>CN201876184</v>
      </c>
      <c r="B328" s="3" t="s">
        <v>1012</v>
      </c>
      <c r="C328" s="3" t="s">
        <v>1013</v>
      </c>
      <c r="D328" s="3" t="s">
        <v>49</v>
      </c>
      <c r="E328" s="3" t="s">
        <v>50</v>
      </c>
      <c r="F328" s="3" t="s">
        <v>1014</v>
      </c>
      <c r="G328" s="3" t="s">
        <v>1015</v>
      </c>
      <c r="H328" s="3" t="s">
        <v>0</v>
      </c>
      <c r="I328" s="3" t="s">
        <v>90</v>
      </c>
      <c r="J328" s="3" t="s">
        <v>1016</v>
      </c>
      <c r="K328" s="3" t="s">
        <v>1017</v>
      </c>
      <c r="L328" s="3" t="s">
        <v>1018</v>
      </c>
      <c r="M328" s="3">
        <v>10</v>
      </c>
      <c r="N328" s="3">
        <v>8</v>
      </c>
      <c r="O328" s="3" t="s">
        <v>55</v>
      </c>
      <c r="P328" s="3" t="s">
        <v>44</v>
      </c>
      <c r="Q328" s="3">
        <v>0</v>
      </c>
      <c r="R328" s="3">
        <v>0</v>
      </c>
      <c r="S328" s="3">
        <v>0</v>
      </c>
      <c r="T328" s="3">
        <v>0</v>
      </c>
      <c r="U328" s="3">
        <v>10</v>
      </c>
      <c r="V328" s="3" t="s">
        <v>1019</v>
      </c>
      <c r="W328" s="3">
        <v>0</v>
      </c>
      <c r="X328" s="3">
        <v>10</v>
      </c>
      <c r="Y328" s="3">
        <v>3</v>
      </c>
      <c r="Z328" s="3">
        <v>1</v>
      </c>
      <c r="AA328" s="3">
        <v>0</v>
      </c>
      <c r="AB328" s="3">
        <v>0</v>
      </c>
      <c r="AC328" s="3">
        <v>12</v>
      </c>
      <c r="AD328" s="3" t="s">
        <v>0</v>
      </c>
      <c r="AE328" s="3" t="s">
        <v>46</v>
      </c>
    </row>
    <row r="329" spans="1:31" ht="25.5" x14ac:dyDescent="0.2">
      <c r="A329" s="4" t="str">
        <f>HYPERLINK("http://www.patentics.cn/invokexml.do?sf=ShowPatent&amp;spn=CN102012076B&amp;sv=0e4a633bf8f158d2cc31ad659fec76b3","CN102012076B")</f>
        <v>CN102012076B</v>
      </c>
      <c r="B329" s="2" t="s">
        <v>1750</v>
      </c>
      <c r="C329" s="2" t="s">
        <v>1751</v>
      </c>
      <c r="D329" s="2" t="s">
        <v>246</v>
      </c>
      <c r="E329" s="2" t="s">
        <v>36</v>
      </c>
      <c r="F329" s="2" t="s">
        <v>1752</v>
      </c>
      <c r="G329" s="2" t="s">
        <v>1753</v>
      </c>
      <c r="H329" s="2" t="s">
        <v>1754</v>
      </c>
      <c r="I329" s="2" t="s">
        <v>1754</v>
      </c>
      <c r="J329" s="2" t="s">
        <v>273</v>
      </c>
      <c r="K329" s="2" t="s">
        <v>41</v>
      </c>
      <c r="L329" s="2" t="s">
        <v>84</v>
      </c>
      <c r="M329" s="2">
        <v>3</v>
      </c>
      <c r="N329" s="2">
        <v>29</v>
      </c>
      <c r="O329" s="2" t="s">
        <v>43</v>
      </c>
      <c r="P329" s="2" t="s">
        <v>44</v>
      </c>
      <c r="Q329" s="2">
        <v>4</v>
      </c>
      <c r="R329" s="2">
        <v>0</v>
      </c>
      <c r="S329" s="2">
        <v>4</v>
      </c>
      <c r="T329" s="2">
        <v>4</v>
      </c>
      <c r="U329" s="2">
        <v>0</v>
      </c>
      <c r="V329" s="2" t="s">
        <v>45</v>
      </c>
      <c r="W329" s="2">
        <v>0</v>
      </c>
      <c r="X329" s="2">
        <v>0</v>
      </c>
      <c r="Y329" s="2">
        <v>0</v>
      </c>
      <c r="Z329" s="2">
        <v>0</v>
      </c>
      <c r="AA329" s="2">
        <v>1</v>
      </c>
      <c r="AB329" s="2">
        <v>1</v>
      </c>
      <c r="AC329" s="2" t="s">
        <v>0</v>
      </c>
      <c r="AD329" s="2">
        <v>1</v>
      </c>
      <c r="AE329" s="2" t="s">
        <v>46</v>
      </c>
    </row>
    <row r="330" spans="1:31" ht="63.75" x14ac:dyDescent="0.2">
      <c r="A330" s="5" t="str">
        <f>HYPERLINK("http://www.patentics.cn/invokexml.do?sf=ShowPatent&amp;spn=CN101514826&amp;sv=26516bd7b8ddde5d446be388aad6f8cc","CN101514826")</f>
        <v>CN101514826</v>
      </c>
      <c r="B330" s="3" t="s">
        <v>534</v>
      </c>
      <c r="C330" s="3" t="s">
        <v>535</v>
      </c>
      <c r="D330" s="3" t="s">
        <v>49</v>
      </c>
      <c r="E330" s="3" t="s">
        <v>50</v>
      </c>
      <c r="F330" s="3" t="s">
        <v>536</v>
      </c>
      <c r="G330" s="3" t="s">
        <v>264</v>
      </c>
      <c r="H330" s="3" t="s">
        <v>0</v>
      </c>
      <c r="I330" s="3" t="s">
        <v>537</v>
      </c>
      <c r="J330" s="3" t="s">
        <v>538</v>
      </c>
      <c r="K330" s="3" t="s">
        <v>41</v>
      </c>
      <c r="L330" s="3" t="s">
        <v>42</v>
      </c>
      <c r="M330" s="3">
        <v>9</v>
      </c>
      <c r="N330" s="3">
        <v>12</v>
      </c>
      <c r="O330" s="3" t="s">
        <v>75</v>
      </c>
      <c r="P330" s="3" t="s">
        <v>44</v>
      </c>
      <c r="Q330" s="3">
        <v>0</v>
      </c>
      <c r="R330" s="3">
        <v>0</v>
      </c>
      <c r="S330" s="3">
        <v>0</v>
      </c>
      <c r="T330" s="3">
        <v>0</v>
      </c>
      <c r="U330" s="3">
        <v>4</v>
      </c>
      <c r="V330" s="3" t="s">
        <v>539</v>
      </c>
      <c r="W330" s="3">
        <v>0</v>
      </c>
      <c r="X330" s="3">
        <v>4</v>
      </c>
      <c r="Y330" s="3">
        <v>1</v>
      </c>
      <c r="Z330" s="3">
        <v>2</v>
      </c>
      <c r="AA330" s="3">
        <v>0</v>
      </c>
      <c r="AB330" s="3">
        <v>0</v>
      </c>
      <c r="AC330" s="3">
        <v>12</v>
      </c>
      <c r="AD330" s="3" t="s">
        <v>0</v>
      </c>
      <c r="AE330" s="3" t="s">
        <v>100</v>
      </c>
    </row>
    <row r="331" spans="1:31" ht="51" x14ac:dyDescent="0.2">
      <c r="A331" s="4" t="str">
        <f>HYPERLINK("http://www.patentics.cn/invokexml.do?sf=ShowPatent&amp;spn=CN102141051B&amp;sv=8ba5dbc36ea7512a3bddb26da7994439","CN102141051B")</f>
        <v>CN102141051B</v>
      </c>
      <c r="B331" s="2" t="s">
        <v>1755</v>
      </c>
      <c r="C331" s="2" t="s">
        <v>1756</v>
      </c>
      <c r="D331" s="2" t="s">
        <v>79</v>
      </c>
      <c r="E331" s="2" t="s">
        <v>36</v>
      </c>
      <c r="F331" s="2" t="s">
        <v>1757</v>
      </c>
      <c r="G331" s="2" t="s">
        <v>1758</v>
      </c>
      <c r="H331" s="2" t="s">
        <v>1759</v>
      </c>
      <c r="I331" s="2" t="s">
        <v>1759</v>
      </c>
      <c r="J331" s="2" t="s">
        <v>168</v>
      </c>
      <c r="K331" s="2" t="s">
        <v>789</v>
      </c>
      <c r="L331" s="2" t="s">
        <v>1760</v>
      </c>
      <c r="M331" s="2">
        <v>6</v>
      </c>
      <c r="N331" s="2">
        <v>30</v>
      </c>
      <c r="O331" s="2" t="s">
        <v>43</v>
      </c>
      <c r="P331" s="2" t="s">
        <v>44</v>
      </c>
      <c r="Q331" s="2">
        <v>4</v>
      </c>
      <c r="R331" s="2">
        <v>2</v>
      </c>
      <c r="S331" s="2">
        <v>2</v>
      </c>
      <c r="T331" s="2">
        <v>3</v>
      </c>
      <c r="U331" s="2">
        <v>0</v>
      </c>
      <c r="V331" s="2" t="s">
        <v>45</v>
      </c>
      <c r="W331" s="2">
        <v>0</v>
      </c>
      <c r="X331" s="2">
        <v>0</v>
      </c>
      <c r="Y331" s="2">
        <v>0</v>
      </c>
      <c r="Z331" s="2">
        <v>0</v>
      </c>
      <c r="AA331" s="2">
        <v>1</v>
      </c>
      <c r="AB331" s="2">
        <v>1</v>
      </c>
      <c r="AC331" s="2" t="s">
        <v>0</v>
      </c>
      <c r="AD331" s="2">
        <v>1</v>
      </c>
      <c r="AE331" s="2" t="s">
        <v>46</v>
      </c>
    </row>
    <row r="332" spans="1:31" ht="38.25" x14ac:dyDescent="0.2">
      <c r="A332" s="5" t="str">
        <f>HYPERLINK("http://www.patentics.cn/invokexml.do?sf=ShowPatent&amp;spn=CN2900879&amp;sv=7101f978360acf34e9f743a78eb0745f","CN2900879")</f>
        <v>CN2900879</v>
      </c>
      <c r="B332" s="3" t="s">
        <v>1761</v>
      </c>
      <c r="C332" s="3" t="s">
        <v>1762</v>
      </c>
      <c r="D332" s="3" t="s">
        <v>49</v>
      </c>
      <c r="E332" s="3" t="s">
        <v>50</v>
      </c>
      <c r="F332" s="3" t="s">
        <v>1763</v>
      </c>
      <c r="G332" s="3" t="s">
        <v>1764</v>
      </c>
      <c r="H332" s="3" t="s">
        <v>0</v>
      </c>
      <c r="I332" s="3" t="s">
        <v>1765</v>
      </c>
      <c r="J332" s="3" t="s">
        <v>427</v>
      </c>
      <c r="K332" s="3" t="s">
        <v>789</v>
      </c>
      <c r="L332" s="3" t="s">
        <v>1766</v>
      </c>
      <c r="M332" s="3">
        <v>5</v>
      </c>
      <c r="N332" s="3">
        <v>10</v>
      </c>
      <c r="O332" s="3" t="s">
        <v>55</v>
      </c>
      <c r="P332" s="3" t="s">
        <v>44</v>
      </c>
      <c r="Q332" s="3">
        <v>0</v>
      </c>
      <c r="R332" s="3">
        <v>0</v>
      </c>
      <c r="S332" s="3">
        <v>0</v>
      </c>
      <c r="T332" s="3">
        <v>0</v>
      </c>
      <c r="U332" s="3">
        <v>2</v>
      </c>
      <c r="V332" s="3" t="s">
        <v>141</v>
      </c>
      <c r="W332" s="3">
        <v>0</v>
      </c>
      <c r="X332" s="3">
        <v>2</v>
      </c>
      <c r="Y332" s="3">
        <v>1</v>
      </c>
      <c r="Z332" s="3">
        <v>1</v>
      </c>
      <c r="AA332" s="3">
        <v>0</v>
      </c>
      <c r="AB332" s="3">
        <v>0</v>
      </c>
      <c r="AC332" s="3">
        <v>12</v>
      </c>
      <c r="AD332" s="3" t="s">
        <v>0</v>
      </c>
      <c r="AE332" s="3" t="s">
        <v>57</v>
      </c>
    </row>
    <row r="333" spans="1:31" ht="25.5" x14ac:dyDescent="0.2">
      <c r="A333" s="4" t="str">
        <f>HYPERLINK("http://www.patentics.cn/invokexml.do?sf=ShowPatent&amp;spn=CN102128168B&amp;sv=856893a8ef93570977870e9b15066d07","CN102128168B")</f>
        <v>CN102128168B</v>
      </c>
      <c r="B333" s="2" t="s">
        <v>1767</v>
      </c>
      <c r="C333" s="2" t="s">
        <v>361</v>
      </c>
      <c r="D333" s="2" t="s">
        <v>180</v>
      </c>
      <c r="E333" s="2" t="s">
        <v>36</v>
      </c>
      <c r="F333" s="2" t="s">
        <v>1768</v>
      </c>
      <c r="G333" s="2" t="s">
        <v>1768</v>
      </c>
      <c r="H333" s="2" t="s">
        <v>868</v>
      </c>
      <c r="I333" s="2" t="s">
        <v>868</v>
      </c>
      <c r="J333" s="2" t="s">
        <v>249</v>
      </c>
      <c r="K333" s="2" t="s">
        <v>185</v>
      </c>
      <c r="L333" s="2" t="s">
        <v>202</v>
      </c>
      <c r="M333" s="2">
        <v>7</v>
      </c>
      <c r="N333" s="2">
        <v>27</v>
      </c>
      <c r="O333" s="2" t="s">
        <v>43</v>
      </c>
      <c r="P333" s="2" t="s">
        <v>44</v>
      </c>
      <c r="Q333" s="2">
        <v>3</v>
      </c>
      <c r="R333" s="2">
        <v>0</v>
      </c>
      <c r="S333" s="2">
        <v>3</v>
      </c>
      <c r="T333" s="2">
        <v>3</v>
      </c>
      <c r="U333" s="2">
        <v>0</v>
      </c>
      <c r="V333" s="2" t="s">
        <v>45</v>
      </c>
      <c r="W333" s="2">
        <v>0</v>
      </c>
      <c r="X333" s="2">
        <v>0</v>
      </c>
      <c r="Y333" s="2">
        <v>0</v>
      </c>
      <c r="Z333" s="2">
        <v>0</v>
      </c>
      <c r="AA333" s="2">
        <v>1</v>
      </c>
      <c r="AB333" s="2">
        <v>1</v>
      </c>
      <c r="AC333" s="2" t="s">
        <v>0</v>
      </c>
      <c r="AD333" s="2">
        <v>1</v>
      </c>
      <c r="AE333" s="2" t="s">
        <v>46</v>
      </c>
    </row>
    <row r="334" spans="1:31" ht="38.25" x14ac:dyDescent="0.2">
      <c r="A334" s="5" t="str">
        <f>HYPERLINK("http://www.patentics.cn/invokexml.do?sf=ShowPatent&amp;spn=CN201288665&amp;sv=2b93ef757c482d3310c557a17455cab8","CN201288665")</f>
        <v>CN201288665</v>
      </c>
      <c r="B334" s="3" t="s">
        <v>1769</v>
      </c>
      <c r="C334" s="3" t="s">
        <v>1770</v>
      </c>
      <c r="D334" s="3" t="s">
        <v>189</v>
      </c>
      <c r="E334" s="3" t="s">
        <v>190</v>
      </c>
      <c r="F334" s="3" t="s">
        <v>1771</v>
      </c>
      <c r="G334" s="3" t="s">
        <v>1771</v>
      </c>
      <c r="H334" s="3" t="s">
        <v>0</v>
      </c>
      <c r="I334" s="3" t="s">
        <v>1772</v>
      </c>
      <c r="J334" s="3" t="s">
        <v>1773</v>
      </c>
      <c r="K334" s="3" t="s">
        <v>185</v>
      </c>
      <c r="L334" s="3" t="s">
        <v>195</v>
      </c>
      <c r="M334" s="3">
        <v>5</v>
      </c>
      <c r="N334" s="3">
        <v>6</v>
      </c>
      <c r="O334" s="3" t="s">
        <v>55</v>
      </c>
      <c r="P334" s="3" t="s">
        <v>44</v>
      </c>
      <c r="Q334" s="3">
        <v>0</v>
      </c>
      <c r="R334" s="3">
        <v>0</v>
      </c>
      <c r="S334" s="3">
        <v>0</v>
      </c>
      <c r="T334" s="3">
        <v>0</v>
      </c>
      <c r="U334" s="3">
        <v>1</v>
      </c>
      <c r="V334" s="3" t="s">
        <v>256</v>
      </c>
      <c r="W334" s="3">
        <v>0</v>
      </c>
      <c r="X334" s="3">
        <v>1</v>
      </c>
      <c r="Y334" s="3">
        <v>1</v>
      </c>
      <c r="Z334" s="3">
        <v>1</v>
      </c>
      <c r="AA334" s="3">
        <v>0</v>
      </c>
      <c r="AB334" s="3">
        <v>0</v>
      </c>
      <c r="AC334" s="3">
        <v>12</v>
      </c>
      <c r="AD334" s="3" t="s">
        <v>0</v>
      </c>
      <c r="AE334" s="3" t="s">
        <v>46</v>
      </c>
    </row>
    <row r="335" spans="1:31" ht="25.5" x14ac:dyDescent="0.2">
      <c r="A335" s="4" t="str">
        <f>HYPERLINK("http://www.patentics.cn/invokexml.do?sf=ShowPatent&amp;spn=CN101789685B&amp;sv=d581675f43831ed95301f6141e4ade83","CN101789685B")</f>
        <v>CN101789685B</v>
      </c>
      <c r="B335" s="2" t="s">
        <v>1774</v>
      </c>
      <c r="C335" s="2" t="s">
        <v>1775</v>
      </c>
      <c r="D335" s="2" t="s">
        <v>246</v>
      </c>
      <c r="E335" s="2" t="s">
        <v>36</v>
      </c>
      <c r="F335" s="2" t="s">
        <v>1707</v>
      </c>
      <c r="G335" s="2" t="s">
        <v>1707</v>
      </c>
      <c r="H335" s="2" t="s">
        <v>1776</v>
      </c>
      <c r="I335" s="2" t="s">
        <v>1776</v>
      </c>
      <c r="J335" s="2" t="s">
        <v>533</v>
      </c>
      <c r="K335" s="2" t="s">
        <v>870</v>
      </c>
      <c r="L335" s="2" t="s">
        <v>1777</v>
      </c>
      <c r="M335" s="2">
        <v>4</v>
      </c>
      <c r="N335" s="2">
        <v>32</v>
      </c>
      <c r="O335" s="2" t="s">
        <v>43</v>
      </c>
      <c r="P335" s="2" t="s">
        <v>44</v>
      </c>
      <c r="Q335" s="2">
        <v>3</v>
      </c>
      <c r="R335" s="2">
        <v>0</v>
      </c>
      <c r="S335" s="2">
        <v>3</v>
      </c>
      <c r="T335" s="2">
        <v>3</v>
      </c>
      <c r="U335" s="2">
        <v>0</v>
      </c>
      <c r="V335" s="2" t="s">
        <v>45</v>
      </c>
      <c r="W335" s="2">
        <v>0</v>
      </c>
      <c r="X335" s="2">
        <v>0</v>
      </c>
      <c r="Y335" s="2">
        <v>0</v>
      </c>
      <c r="Z335" s="2">
        <v>0</v>
      </c>
      <c r="AA335" s="2">
        <v>1</v>
      </c>
      <c r="AB335" s="2">
        <v>1</v>
      </c>
      <c r="AC335" s="2" t="s">
        <v>0</v>
      </c>
      <c r="AD335" s="2">
        <v>1</v>
      </c>
      <c r="AE335" s="2" t="s">
        <v>46</v>
      </c>
    </row>
    <row r="336" spans="1:31" ht="38.25" x14ac:dyDescent="0.2">
      <c r="A336" s="5" t="str">
        <f>HYPERLINK("http://www.patentics.cn/invokexml.do?sf=ShowPatent&amp;spn=CN101217254&amp;sv=866c971018e7304a681c6dd11e1def03","CN101217254")</f>
        <v>CN101217254</v>
      </c>
      <c r="B336" s="3" t="s">
        <v>1778</v>
      </c>
      <c r="C336" s="3" t="s">
        <v>1779</v>
      </c>
      <c r="D336" s="3" t="s">
        <v>49</v>
      </c>
      <c r="E336" s="3" t="s">
        <v>50</v>
      </c>
      <c r="F336" s="3" t="s">
        <v>1780</v>
      </c>
      <c r="G336" s="3" t="s">
        <v>253</v>
      </c>
      <c r="H336" s="3" t="s">
        <v>0</v>
      </c>
      <c r="I336" s="3" t="s">
        <v>1781</v>
      </c>
      <c r="J336" s="3" t="s">
        <v>1782</v>
      </c>
      <c r="K336" s="3" t="s">
        <v>870</v>
      </c>
      <c r="L336" s="3" t="s">
        <v>1777</v>
      </c>
      <c r="M336" s="3">
        <v>8</v>
      </c>
      <c r="N336" s="3">
        <v>10</v>
      </c>
      <c r="O336" s="3" t="s">
        <v>75</v>
      </c>
      <c r="P336" s="3" t="s">
        <v>44</v>
      </c>
      <c r="Q336" s="3">
        <v>0</v>
      </c>
      <c r="R336" s="3">
        <v>0</v>
      </c>
      <c r="S336" s="3">
        <v>0</v>
      </c>
      <c r="T336" s="3">
        <v>0</v>
      </c>
      <c r="U336" s="3">
        <v>3</v>
      </c>
      <c r="V336" s="3" t="s">
        <v>1783</v>
      </c>
      <c r="W336" s="3">
        <v>0</v>
      </c>
      <c r="X336" s="3">
        <v>3</v>
      </c>
      <c r="Y336" s="3">
        <v>2</v>
      </c>
      <c r="Z336" s="3">
        <v>2</v>
      </c>
      <c r="AA336" s="3">
        <v>0</v>
      </c>
      <c r="AB336" s="3">
        <v>0</v>
      </c>
      <c r="AC336" s="3">
        <v>12</v>
      </c>
      <c r="AD336" s="3" t="s">
        <v>0</v>
      </c>
      <c r="AE336" s="3" t="s">
        <v>100</v>
      </c>
    </row>
    <row r="337" spans="1:31" ht="25.5" x14ac:dyDescent="0.2">
      <c r="A337" s="4" t="str">
        <f>HYPERLINK("http://www.patentics.cn/invokexml.do?sf=ShowPatent&amp;spn=CN102094823B&amp;sv=bb5894eac493c68f4375fe3815788c93","CN102094823B")</f>
        <v>CN102094823B</v>
      </c>
      <c r="B337" s="2" t="s">
        <v>1784</v>
      </c>
      <c r="C337" s="2" t="s">
        <v>1785</v>
      </c>
      <c r="D337" s="2" t="s">
        <v>180</v>
      </c>
      <c r="E337" s="2" t="s">
        <v>36</v>
      </c>
      <c r="F337" s="2" t="s">
        <v>512</v>
      </c>
      <c r="G337" s="2" t="s">
        <v>513</v>
      </c>
      <c r="H337" s="2" t="s">
        <v>1786</v>
      </c>
      <c r="I337" s="2" t="s">
        <v>1786</v>
      </c>
      <c r="J337" s="2" t="s">
        <v>146</v>
      </c>
      <c r="K337" s="2" t="s">
        <v>185</v>
      </c>
      <c r="L337" s="2" t="s">
        <v>1069</v>
      </c>
      <c r="M337" s="2">
        <v>9</v>
      </c>
      <c r="N337" s="2">
        <v>23</v>
      </c>
      <c r="O337" s="2" t="s">
        <v>43</v>
      </c>
      <c r="P337" s="2" t="s">
        <v>44</v>
      </c>
      <c r="Q337" s="2">
        <v>6</v>
      </c>
      <c r="R337" s="2">
        <v>0</v>
      </c>
      <c r="S337" s="2">
        <v>6</v>
      </c>
      <c r="T337" s="2">
        <v>4</v>
      </c>
      <c r="U337" s="2">
        <v>0</v>
      </c>
      <c r="V337" s="2" t="s">
        <v>45</v>
      </c>
      <c r="W337" s="2">
        <v>0</v>
      </c>
      <c r="X337" s="2">
        <v>0</v>
      </c>
      <c r="Y337" s="2">
        <v>0</v>
      </c>
      <c r="Z337" s="2">
        <v>0</v>
      </c>
      <c r="AA337" s="2">
        <v>1</v>
      </c>
      <c r="AB337" s="2">
        <v>1</v>
      </c>
      <c r="AC337" s="2" t="s">
        <v>0</v>
      </c>
      <c r="AD337" s="2">
        <v>1</v>
      </c>
      <c r="AE337" s="2" t="s">
        <v>46</v>
      </c>
    </row>
    <row r="338" spans="1:31" ht="38.25" x14ac:dyDescent="0.2">
      <c r="A338" s="5" t="str">
        <f>HYPERLINK("http://www.patentics.cn/invokexml.do?sf=ShowPatent&amp;spn=CN101397997&amp;sv=43f5669c7d9bdfbd4f5881a7672ce824","CN101397997")</f>
        <v>CN101397997</v>
      </c>
      <c r="B338" s="3" t="s">
        <v>1787</v>
      </c>
      <c r="C338" s="3" t="s">
        <v>1788</v>
      </c>
      <c r="D338" s="3" t="s">
        <v>189</v>
      </c>
      <c r="E338" s="3" t="s">
        <v>190</v>
      </c>
      <c r="F338" s="3" t="s">
        <v>1789</v>
      </c>
      <c r="G338" s="3" t="s">
        <v>207</v>
      </c>
      <c r="H338" s="3" t="s">
        <v>1790</v>
      </c>
      <c r="I338" s="3" t="s">
        <v>1790</v>
      </c>
      <c r="J338" s="3" t="s">
        <v>1683</v>
      </c>
      <c r="K338" s="3" t="s">
        <v>185</v>
      </c>
      <c r="L338" s="3" t="s">
        <v>216</v>
      </c>
      <c r="M338" s="3">
        <v>5</v>
      </c>
      <c r="N338" s="3">
        <v>15</v>
      </c>
      <c r="O338" s="3" t="s">
        <v>75</v>
      </c>
      <c r="P338" s="3" t="s">
        <v>44</v>
      </c>
      <c r="Q338" s="3">
        <v>0</v>
      </c>
      <c r="R338" s="3">
        <v>0</v>
      </c>
      <c r="S338" s="3">
        <v>0</v>
      </c>
      <c r="T338" s="3">
        <v>0</v>
      </c>
      <c r="U338" s="3">
        <v>3</v>
      </c>
      <c r="V338" s="3" t="s">
        <v>1324</v>
      </c>
      <c r="W338" s="3">
        <v>2</v>
      </c>
      <c r="X338" s="3">
        <v>1</v>
      </c>
      <c r="Y338" s="3">
        <v>2</v>
      </c>
      <c r="Z338" s="3">
        <v>2</v>
      </c>
      <c r="AA338" s="3">
        <v>1</v>
      </c>
      <c r="AB338" s="3">
        <v>1</v>
      </c>
      <c r="AC338" s="3">
        <v>12</v>
      </c>
      <c r="AD338" s="3" t="s">
        <v>0</v>
      </c>
      <c r="AE338" s="3" t="s">
        <v>46</v>
      </c>
    </row>
    <row r="339" spans="1:31" ht="38.25" x14ac:dyDescent="0.2">
      <c r="A339" s="4" t="str">
        <f>HYPERLINK("http://www.patentics.cn/invokexml.do?sf=ShowPatent&amp;spn=CN101691960B&amp;sv=e1a7a09d80c94b27df03080bb742de06","CN101691960B")</f>
        <v>CN101691960B</v>
      </c>
      <c r="B339" s="2" t="s">
        <v>1791</v>
      </c>
      <c r="C339" s="2" t="s">
        <v>1792</v>
      </c>
      <c r="D339" s="2" t="s">
        <v>246</v>
      </c>
      <c r="E339" s="2" t="s">
        <v>36</v>
      </c>
      <c r="F339" s="2" t="s">
        <v>1793</v>
      </c>
      <c r="G339" s="2" t="s">
        <v>1794</v>
      </c>
      <c r="H339" s="2" t="s">
        <v>859</v>
      </c>
      <c r="I339" s="2" t="s">
        <v>859</v>
      </c>
      <c r="J339" s="2" t="s">
        <v>146</v>
      </c>
      <c r="K339" s="2" t="s">
        <v>347</v>
      </c>
      <c r="L339" s="2" t="s">
        <v>1795</v>
      </c>
      <c r="M339" s="2">
        <v>3</v>
      </c>
      <c r="N339" s="2">
        <v>31</v>
      </c>
      <c r="O339" s="2" t="s">
        <v>43</v>
      </c>
      <c r="P339" s="2" t="s">
        <v>44</v>
      </c>
      <c r="Q339" s="2">
        <v>5</v>
      </c>
      <c r="R339" s="2">
        <v>0</v>
      </c>
      <c r="S339" s="2">
        <v>5</v>
      </c>
      <c r="T339" s="2">
        <v>5</v>
      </c>
      <c r="U339" s="2">
        <v>0</v>
      </c>
      <c r="V339" s="2" t="s">
        <v>45</v>
      </c>
      <c r="W339" s="2">
        <v>0</v>
      </c>
      <c r="X339" s="2">
        <v>0</v>
      </c>
      <c r="Y339" s="2">
        <v>0</v>
      </c>
      <c r="Z339" s="2">
        <v>0</v>
      </c>
      <c r="AA339" s="2">
        <v>1</v>
      </c>
      <c r="AB339" s="2">
        <v>1</v>
      </c>
      <c r="AC339" s="2" t="s">
        <v>0</v>
      </c>
      <c r="AD339" s="2">
        <v>1</v>
      </c>
      <c r="AE339" s="2" t="s">
        <v>46</v>
      </c>
    </row>
    <row r="340" spans="1:31" ht="38.25" x14ac:dyDescent="0.2">
      <c r="A340" s="5" t="str">
        <f>HYPERLINK("http://www.patentics.cn/invokexml.do?sf=ShowPatent&amp;spn=CN201028884&amp;sv=7635563d9cae6ddad31ebe677f60051d","CN201028884")</f>
        <v>CN201028884</v>
      </c>
      <c r="B340" s="3" t="s">
        <v>1796</v>
      </c>
      <c r="C340" s="3" t="s">
        <v>1797</v>
      </c>
      <c r="D340" s="3" t="s">
        <v>49</v>
      </c>
      <c r="E340" s="3" t="s">
        <v>50</v>
      </c>
      <c r="F340" s="3" t="s">
        <v>1798</v>
      </c>
      <c r="G340" s="3" t="s">
        <v>1799</v>
      </c>
      <c r="H340" s="3" t="s">
        <v>0</v>
      </c>
      <c r="I340" s="3" t="s">
        <v>1800</v>
      </c>
      <c r="J340" s="3" t="s">
        <v>1513</v>
      </c>
      <c r="K340" s="3" t="s">
        <v>347</v>
      </c>
      <c r="L340" s="3" t="s">
        <v>1795</v>
      </c>
      <c r="M340" s="3">
        <v>5</v>
      </c>
      <c r="N340" s="3">
        <v>30</v>
      </c>
      <c r="O340" s="3" t="s">
        <v>55</v>
      </c>
      <c r="P340" s="3" t="s">
        <v>44</v>
      </c>
      <c r="Q340" s="3">
        <v>0</v>
      </c>
      <c r="R340" s="3">
        <v>0</v>
      </c>
      <c r="S340" s="3">
        <v>0</v>
      </c>
      <c r="T340" s="3">
        <v>0</v>
      </c>
      <c r="U340" s="3">
        <v>2</v>
      </c>
      <c r="V340" s="3" t="s">
        <v>1801</v>
      </c>
      <c r="W340" s="3">
        <v>1</v>
      </c>
      <c r="X340" s="3">
        <v>1</v>
      </c>
      <c r="Y340" s="3">
        <v>2</v>
      </c>
      <c r="Z340" s="3">
        <v>1</v>
      </c>
      <c r="AA340" s="3">
        <v>0</v>
      </c>
      <c r="AB340" s="3">
        <v>0</v>
      </c>
      <c r="AC340" s="3">
        <v>12</v>
      </c>
      <c r="AD340" s="3" t="s">
        <v>0</v>
      </c>
      <c r="AE340" s="3" t="s">
        <v>46</v>
      </c>
    </row>
    <row r="341" spans="1:31" ht="25.5" x14ac:dyDescent="0.2">
      <c r="A341" s="4" t="str">
        <f>HYPERLINK("http://www.patentics.cn/invokexml.do?sf=ShowPatent&amp;spn=CN102012084B&amp;sv=10e9f4ffba427908bd235b7ba717fb57","CN102012084B")</f>
        <v>CN102012084B</v>
      </c>
      <c r="B341" s="2" t="s">
        <v>1802</v>
      </c>
      <c r="C341" s="2" t="s">
        <v>1803</v>
      </c>
      <c r="D341" s="2" t="s">
        <v>246</v>
      </c>
      <c r="E341" s="2" t="s">
        <v>36</v>
      </c>
      <c r="F341" s="2" t="s">
        <v>1804</v>
      </c>
      <c r="G341" s="2" t="s">
        <v>247</v>
      </c>
      <c r="H341" s="2" t="s">
        <v>68</v>
      </c>
      <c r="I341" s="2" t="s">
        <v>68</v>
      </c>
      <c r="J341" s="2" t="s">
        <v>1805</v>
      </c>
      <c r="K341" s="2" t="s">
        <v>41</v>
      </c>
      <c r="L341" s="2" t="s">
        <v>69</v>
      </c>
      <c r="M341" s="2">
        <v>8</v>
      </c>
      <c r="N341" s="2">
        <v>17</v>
      </c>
      <c r="O341" s="2" t="s">
        <v>43</v>
      </c>
      <c r="P341" s="2" t="s">
        <v>44</v>
      </c>
      <c r="Q341" s="2">
        <v>5</v>
      </c>
      <c r="R341" s="2">
        <v>0</v>
      </c>
      <c r="S341" s="2">
        <v>5</v>
      </c>
      <c r="T341" s="2">
        <v>5</v>
      </c>
      <c r="U341" s="2">
        <v>0</v>
      </c>
      <c r="V341" s="2" t="s">
        <v>45</v>
      </c>
      <c r="W341" s="2">
        <v>0</v>
      </c>
      <c r="X341" s="2">
        <v>0</v>
      </c>
      <c r="Y341" s="2">
        <v>0</v>
      </c>
      <c r="Z341" s="2">
        <v>0</v>
      </c>
      <c r="AA341" s="2">
        <v>1</v>
      </c>
      <c r="AB341" s="2">
        <v>1</v>
      </c>
      <c r="AC341" s="2" t="s">
        <v>0</v>
      </c>
      <c r="AD341" s="2">
        <v>1</v>
      </c>
      <c r="AE341" s="2" t="s">
        <v>46</v>
      </c>
    </row>
    <row r="342" spans="1:31" ht="51" x14ac:dyDescent="0.2">
      <c r="A342" s="5" t="str">
        <f>HYPERLINK("http://www.patentics.cn/invokexml.do?sf=ShowPatent&amp;spn=CN201615549&amp;sv=9ed38c1f6ca19d7687ae9e1685a91478","CN201615549")</f>
        <v>CN201615549</v>
      </c>
      <c r="B342" s="3" t="s">
        <v>1806</v>
      </c>
      <c r="C342" s="3" t="s">
        <v>1807</v>
      </c>
      <c r="D342" s="3" t="s">
        <v>49</v>
      </c>
      <c r="E342" s="3" t="s">
        <v>50</v>
      </c>
      <c r="F342" s="3" t="s">
        <v>1808</v>
      </c>
      <c r="G342" s="3" t="s">
        <v>52</v>
      </c>
      <c r="H342" s="3" t="s">
        <v>1809</v>
      </c>
      <c r="I342" s="3" t="s">
        <v>1809</v>
      </c>
      <c r="J342" s="3" t="s">
        <v>1810</v>
      </c>
      <c r="K342" s="3" t="s">
        <v>41</v>
      </c>
      <c r="L342" s="3" t="s">
        <v>42</v>
      </c>
      <c r="M342" s="3">
        <v>9</v>
      </c>
      <c r="N342" s="3">
        <v>10</v>
      </c>
      <c r="O342" s="3" t="s">
        <v>55</v>
      </c>
      <c r="P342" s="3" t="s">
        <v>44</v>
      </c>
      <c r="Q342" s="3">
        <v>0</v>
      </c>
      <c r="R342" s="3">
        <v>0</v>
      </c>
      <c r="S342" s="3">
        <v>0</v>
      </c>
      <c r="T342" s="3">
        <v>0</v>
      </c>
      <c r="U342" s="3">
        <v>5</v>
      </c>
      <c r="V342" s="3" t="s">
        <v>1811</v>
      </c>
      <c r="W342" s="3">
        <v>4</v>
      </c>
      <c r="X342" s="3">
        <v>1</v>
      </c>
      <c r="Y342" s="3">
        <v>2</v>
      </c>
      <c r="Z342" s="3">
        <v>1</v>
      </c>
      <c r="AA342" s="3">
        <v>1</v>
      </c>
      <c r="AB342" s="3">
        <v>2</v>
      </c>
      <c r="AC342" s="3">
        <v>12</v>
      </c>
      <c r="AD342" s="3" t="s">
        <v>0</v>
      </c>
      <c r="AE342" s="3" t="s">
        <v>46</v>
      </c>
    </row>
    <row r="343" spans="1:31" ht="51" x14ac:dyDescent="0.2">
      <c r="A343" s="4" t="str">
        <f>HYPERLINK("http://www.patentics.cn/invokexml.do?sf=ShowPatent&amp;spn=CN101726073B&amp;sv=54d8219a30f52f02cda04960b4acd4ce","CN101726073B")</f>
        <v>CN101726073B</v>
      </c>
      <c r="B343" s="2" t="s">
        <v>1812</v>
      </c>
      <c r="C343" s="2" t="s">
        <v>1813</v>
      </c>
      <c r="D343" s="2" t="s">
        <v>246</v>
      </c>
      <c r="E343" s="2" t="s">
        <v>36</v>
      </c>
      <c r="F343" s="2" t="s">
        <v>1814</v>
      </c>
      <c r="G343" s="2" t="s">
        <v>1815</v>
      </c>
      <c r="H343" s="2" t="s">
        <v>859</v>
      </c>
      <c r="I343" s="2" t="s">
        <v>859</v>
      </c>
      <c r="J343" s="2" t="s">
        <v>1816</v>
      </c>
      <c r="K343" s="2" t="s">
        <v>41</v>
      </c>
      <c r="L343" s="2" t="s">
        <v>84</v>
      </c>
      <c r="M343" s="2">
        <v>9</v>
      </c>
      <c r="N343" s="2">
        <v>24</v>
      </c>
      <c r="O343" s="2" t="s">
        <v>43</v>
      </c>
      <c r="P343" s="2" t="s">
        <v>44</v>
      </c>
      <c r="Q343" s="2">
        <v>7</v>
      </c>
      <c r="R343" s="2">
        <v>0</v>
      </c>
      <c r="S343" s="2">
        <v>7</v>
      </c>
      <c r="T343" s="2">
        <v>7</v>
      </c>
      <c r="U343" s="2">
        <v>0</v>
      </c>
      <c r="V343" s="2" t="s">
        <v>45</v>
      </c>
      <c r="W343" s="2">
        <v>0</v>
      </c>
      <c r="X343" s="2">
        <v>0</v>
      </c>
      <c r="Y343" s="2">
        <v>0</v>
      </c>
      <c r="Z343" s="2">
        <v>0</v>
      </c>
      <c r="AA343" s="2">
        <v>1</v>
      </c>
      <c r="AB343" s="2">
        <v>1</v>
      </c>
      <c r="AC343" s="2" t="s">
        <v>0</v>
      </c>
      <c r="AD343" s="2">
        <v>1</v>
      </c>
      <c r="AE343" s="2" t="s">
        <v>46</v>
      </c>
    </row>
    <row r="344" spans="1:31" ht="38.25" x14ac:dyDescent="0.2">
      <c r="A344" s="5" t="str">
        <f>HYPERLINK("http://www.patentics.cn/invokexml.do?sf=ShowPatent&amp;spn=CN101464032&amp;sv=efcd675075a0d3b4862927b28011c077","CN101464032")</f>
        <v>CN101464032</v>
      </c>
      <c r="B344" s="3" t="s">
        <v>540</v>
      </c>
      <c r="C344" s="3" t="s">
        <v>541</v>
      </c>
      <c r="D344" s="3" t="s">
        <v>49</v>
      </c>
      <c r="E344" s="3" t="s">
        <v>50</v>
      </c>
      <c r="F344" s="3" t="s">
        <v>542</v>
      </c>
      <c r="G344" s="3" t="s">
        <v>543</v>
      </c>
      <c r="H344" s="3" t="s">
        <v>544</v>
      </c>
      <c r="I344" s="3" t="s">
        <v>544</v>
      </c>
      <c r="J344" s="3" t="s">
        <v>545</v>
      </c>
      <c r="K344" s="3" t="s">
        <v>41</v>
      </c>
      <c r="L344" s="3" t="s">
        <v>84</v>
      </c>
      <c r="M344" s="3">
        <v>16</v>
      </c>
      <c r="N344" s="3">
        <v>29</v>
      </c>
      <c r="O344" s="3" t="s">
        <v>75</v>
      </c>
      <c r="P344" s="3" t="s">
        <v>44</v>
      </c>
      <c r="Q344" s="3">
        <v>0</v>
      </c>
      <c r="R344" s="3">
        <v>0</v>
      </c>
      <c r="S344" s="3">
        <v>0</v>
      </c>
      <c r="T344" s="3">
        <v>0</v>
      </c>
      <c r="U344" s="3">
        <v>15</v>
      </c>
      <c r="V344" s="3" t="s">
        <v>546</v>
      </c>
      <c r="W344" s="3">
        <v>0</v>
      </c>
      <c r="X344" s="3">
        <v>15</v>
      </c>
      <c r="Y344" s="3">
        <v>5</v>
      </c>
      <c r="Z344" s="3">
        <v>2</v>
      </c>
      <c r="AA344" s="3">
        <v>1</v>
      </c>
      <c r="AB344" s="3">
        <v>1</v>
      </c>
      <c r="AC344" s="3">
        <v>12</v>
      </c>
      <c r="AD344" s="3" t="s">
        <v>0</v>
      </c>
      <c r="AE344" s="3" t="s">
        <v>46</v>
      </c>
    </row>
    <row r="345" spans="1:31" ht="25.5" x14ac:dyDescent="0.2">
      <c r="A345" s="4" t="str">
        <f>HYPERLINK("http://www.patentics.cn/invokexml.do?sf=ShowPatent&amp;spn=CN102022332B&amp;sv=084a6f57f00e7568fae63e77b232fba4","CN102022332B")</f>
        <v>CN102022332B</v>
      </c>
      <c r="B345" s="2" t="s">
        <v>1817</v>
      </c>
      <c r="C345" s="2" t="s">
        <v>1818</v>
      </c>
      <c r="D345" s="2" t="s">
        <v>180</v>
      </c>
      <c r="E345" s="2" t="s">
        <v>36</v>
      </c>
      <c r="F345" s="2" t="s">
        <v>512</v>
      </c>
      <c r="G345" s="2" t="s">
        <v>513</v>
      </c>
      <c r="H345" s="2" t="s">
        <v>1819</v>
      </c>
      <c r="I345" s="2" t="s">
        <v>1819</v>
      </c>
      <c r="J345" s="2" t="s">
        <v>1816</v>
      </c>
      <c r="K345" s="2" t="s">
        <v>185</v>
      </c>
      <c r="L345" s="2" t="s">
        <v>1069</v>
      </c>
      <c r="M345" s="2">
        <v>7</v>
      </c>
      <c r="N345" s="2">
        <v>49</v>
      </c>
      <c r="O345" s="2" t="s">
        <v>43</v>
      </c>
      <c r="P345" s="2" t="s">
        <v>44</v>
      </c>
      <c r="Q345" s="2">
        <v>4</v>
      </c>
      <c r="R345" s="2">
        <v>0</v>
      </c>
      <c r="S345" s="2">
        <v>4</v>
      </c>
      <c r="T345" s="2">
        <v>4</v>
      </c>
      <c r="U345" s="2">
        <v>0</v>
      </c>
      <c r="V345" s="2" t="s">
        <v>45</v>
      </c>
      <c r="W345" s="2">
        <v>0</v>
      </c>
      <c r="X345" s="2">
        <v>0</v>
      </c>
      <c r="Y345" s="2">
        <v>0</v>
      </c>
      <c r="Z345" s="2">
        <v>0</v>
      </c>
      <c r="AA345" s="2">
        <v>1</v>
      </c>
      <c r="AB345" s="2">
        <v>1</v>
      </c>
      <c r="AC345" s="2" t="s">
        <v>0</v>
      </c>
      <c r="AD345" s="2">
        <v>1</v>
      </c>
      <c r="AE345" s="2" t="s">
        <v>46</v>
      </c>
    </row>
    <row r="346" spans="1:31" ht="38.25" x14ac:dyDescent="0.2">
      <c r="A346" s="5" t="str">
        <f>HYPERLINK("http://www.patentics.cn/invokexml.do?sf=ShowPatent&amp;spn=CN101294568&amp;sv=3e5ea5c483d5cf3384a335bb7f1482d0","CN101294568")</f>
        <v>CN101294568</v>
      </c>
      <c r="B346" s="3" t="s">
        <v>1820</v>
      </c>
      <c r="C346" s="3" t="s">
        <v>226</v>
      </c>
      <c r="D346" s="3" t="s">
        <v>189</v>
      </c>
      <c r="E346" s="3" t="s">
        <v>190</v>
      </c>
      <c r="F346" s="3" t="s">
        <v>524</v>
      </c>
      <c r="G346" s="3" t="s">
        <v>299</v>
      </c>
      <c r="H346" s="3" t="s">
        <v>0</v>
      </c>
      <c r="I346" s="3" t="s">
        <v>1314</v>
      </c>
      <c r="J346" s="3" t="s">
        <v>1821</v>
      </c>
      <c r="K346" s="3" t="s">
        <v>185</v>
      </c>
      <c r="L346" s="3" t="s">
        <v>216</v>
      </c>
      <c r="M346" s="3">
        <v>5</v>
      </c>
      <c r="N346" s="3">
        <v>12</v>
      </c>
      <c r="O346" s="3" t="s">
        <v>75</v>
      </c>
      <c r="P346" s="3" t="s">
        <v>44</v>
      </c>
      <c r="Q346" s="3">
        <v>0</v>
      </c>
      <c r="R346" s="3">
        <v>0</v>
      </c>
      <c r="S346" s="3">
        <v>0</v>
      </c>
      <c r="T346" s="3">
        <v>0</v>
      </c>
      <c r="U346" s="3">
        <v>6</v>
      </c>
      <c r="V346" s="3" t="s">
        <v>1822</v>
      </c>
      <c r="W346" s="3">
        <v>5</v>
      </c>
      <c r="X346" s="3">
        <v>1</v>
      </c>
      <c r="Y346" s="3">
        <v>2</v>
      </c>
      <c r="Z346" s="3">
        <v>1</v>
      </c>
      <c r="AA346" s="3">
        <v>0</v>
      </c>
      <c r="AB346" s="3">
        <v>0</v>
      </c>
      <c r="AC346" s="3">
        <v>12</v>
      </c>
      <c r="AD346" s="3" t="s">
        <v>0</v>
      </c>
      <c r="AE346" s="3" t="s">
        <v>100</v>
      </c>
    </row>
    <row r="347" spans="1:31" ht="25.5" x14ac:dyDescent="0.2">
      <c r="A347" s="4" t="str">
        <f>HYPERLINK("http://www.patentics.cn/invokexml.do?sf=ShowPatent&amp;spn=CN100527158C&amp;sv=da1caa4c061b74b65465ead2628cdd5a","CN100527158C")</f>
        <v>CN100527158C</v>
      </c>
      <c r="B347" s="2" t="s">
        <v>1823</v>
      </c>
      <c r="C347" s="2" t="s">
        <v>1824</v>
      </c>
      <c r="D347" s="2" t="s">
        <v>36</v>
      </c>
      <c r="E347" s="2" t="s">
        <v>36</v>
      </c>
      <c r="F347" s="2" t="s">
        <v>1825</v>
      </c>
      <c r="G347" s="2" t="s">
        <v>1826</v>
      </c>
      <c r="H347" s="2" t="s">
        <v>1827</v>
      </c>
      <c r="I347" s="2" t="s">
        <v>1827</v>
      </c>
      <c r="J347" s="2" t="s">
        <v>1773</v>
      </c>
      <c r="K347" s="2" t="s">
        <v>1828</v>
      </c>
      <c r="L347" s="2" t="s">
        <v>1829</v>
      </c>
      <c r="M347" s="2">
        <v>4</v>
      </c>
      <c r="N347" s="2">
        <v>24</v>
      </c>
      <c r="O347" s="2" t="s">
        <v>43</v>
      </c>
      <c r="P347" s="2" t="s">
        <v>44</v>
      </c>
      <c r="Q347" s="2">
        <v>3</v>
      </c>
      <c r="R347" s="2">
        <v>0</v>
      </c>
      <c r="S347" s="2">
        <v>3</v>
      </c>
      <c r="T347" s="2">
        <v>3</v>
      </c>
      <c r="U347" s="2">
        <v>0</v>
      </c>
      <c r="V347" s="2" t="s">
        <v>45</v>
      </c>
      <c r="W347" s="2">
        <v>0</v>
      </c>
      <c r="X347" s="2">
        <v>0</v>
      </c>
      <c r="Y347" s="2">
        <v>0</v>
      </c>
      <c r="Z347" s="2">
        <v>0</v>
      </c>
      <c r="AA347" s="2">
        <v>1</v>
      </c>
      <c r="AB347" s="2">
        <v>1</v>
      </c>
      <c r="AC347" s="2" t="s">
        <v>0</v>
      </c>
      <c r="AD347" s="2">
        <v>1</v>
      </c>
      <c r="AE347" s="2" t="s">
        <v>46</v>
      </c>
    </row>
    <row r="348" spans="1:31" ht="51" x14ac:dyDescent="0.2">
      <c r="A348" s="5" t="str">
        <f>HYPERLINK("http://www.patentics.cn/invokexml.do?sf=ShowPatent&amp;spn=CN1746905&amp;sv=edcde8fa741a6122aaf0a8031c249e87","CN1746905")</f>
        <v>CN1746905</v>
      </c>
      <c r="B348" s="3" t="s">
        <v>1830</v>
      </c>
      <c r="C348" s="3" t="s">
        <v>1831</v>
      </c>
      <c r="D348" s="3" t="s">
        <v>49</v>
      </c>
      <c r="E348" s="3" t="s">
        <v>50</v>
      </c>
      <c r="F348" s="3" t="s">
        <v>1832</v>
      </c>
      <c r="G348" s="3" t="s">
        <v>52</v>
      </c>
      <c r="H348" s="3" t="s">
        <v>1833</v>
      </c>
      <c r="I348" s="3" t="s">
        <v>1833</v>
      </c>
      <c r="J348" s="3" t="s">
        <v>1834</v>
      </c>
      <c r="K348" s="3" t="s">
        <v>1828</v>
      </c>
      <c r="L348" s="3" t="s">
        <v>1829</v>
      </c>
      <c r="M348" s="3">
        <v>10</v>
      </c>
      <c r="N348" s="3">
        <v>30</v>
      </c>
      <c r="O348" s="3" t="s">
        <v>75</v>
      </c>
      <c r="P348" s="3" t="s">
        <v>44</v>
      </c>
      <c r="Q348" s="3">
        <v>0</v>
      </c>
      <c r="R348" s="3">
        <v>0</v>
      </c>
      <c r="S348" s="3">
        <v>0</v>
      </c>
      <c r="T348" s="3">
        <v>0</v>
      </c>
      <c r="U348" s="3">
        <v>5</v>
      </c>
      <c r="V348" s="3" t="s">
        <v>1835</v>
      </c>
      <c r="W348" s="3">
        <v>0</v>
      </c>
      <c r="X348" s="3">
        <v>5</v>
      </c>
      <c r="Y348" s="3">
        <v>2</v>
      </c>
      <c r="Z348" s="3">
        <v>1</v>
      </c>
      <c r="AA348" s="3">
        <v>1</v>
      </c>
      <c r="AB348" s="3">
        <v>1</v>
      </c>
      <c r="AC348" s="3">
        <v>12</v>
      </c>
      <c r="AD348" s="3" t="s">
        <v>0</v>
      </c>
      <c r="AE348" s="3" t="s">
        <v>46</v>
      </c>
    </row>
    <row r="349" spans="1:31" ht="38.25" x14ac:dyDescent="0.2">
      <c r="A349" s="4" t="str">
        <f>HYPERLINK("http://www.patentics.cn/invokexml.do?sf=ShowPatent&amp;spn=WO2017000653&amp;sv=f2ae8a0b5396634da7b7f8bbfa78b69d","WO2017000653")</f>
        <v>WO2017000653</v>
      </c>
      <c r="B349" s="2" t="s">
        <v>1836</v>
      </c>
      <c r="C349" s="2" t="s">
        <v>1837</v>
      </c>
      <c r="D349" s="2" t="s">
        <v>624</v>
      </c>
      <c r="E349" s="2" t="s">
        <v>624</v>
      </c>
      <c r="F349" s="2" t="s">
        <v>1838</v>
      </c>
      <c r="G349" s="2" t="s">
        <v>1839</v>
      </c>
      <c r="H349" s="2" t="s">
        <v>1840</v>
      </c>
      <c r="I349" s="2" t="s">
        <v>1841</v>
      </c>
      <c r="J349" s="2" t="s">
        <v>1842</v>
      </c>
      <c r="K349" s="2" t="s">
        <v>1843</v>
      </c>
      <c r="L349" s="2" t="s">
        <v>1844</v>
      </c>
      <c r="M349" s="2">
        <v>0</v>
      </c>
      <c r="N349" s="2">
        <v>0</v>
      </c>
      <c r="O349" s="2" t="s">
        <v>123</v>
      </c>
      <c r="P349" s="2" t="s">
        <v>44</v>
      </c>
      <c r="Q349" s="2">
        <v>10</v>
      </c>
      <c r="R349" s="2">
        <v>5</v>
      </c>
      <c r="S349" s="2">
        <v>5</v>
      </c>
      <c r="T349" s="2">
        <v>4</v>
      </c>
      <c r="U349" s="2">
        <v>0</v>
      </c>
      <c r="V349" s="2" t="s">
        <v>45</v>
      </c>
      <c r="W349" s="2">
        <v>0</v>
      </c>
      <c r="X349" s="2">
        <v>0</v>
      </c>
      <c r="Y349" s="2">
        <v>0</v>
      </c>
      <c r="Z349" s="2">
        <v>0</v>
      </c>
      <c r="AA349" s="2">
        <v>2</v>
      </c>
      <c r="AB349" s="2">
        <v>2</v>
      </c>
      <c r="AC349" s="2" t="s">
        <v>0</v>
      </c>
      <c r="AD349" s="2">
        <v>1</v>
      </c>
      <c r="AE349" s="2" t="s">
        <v>0</v>
      </c>
    </row>
    <row r="350" spans="1:31" ht="25.5" x14ac:dyDescent="0.2">
      <c r="A350" s="5" t="str">
        <f>HYPERLINK("http://www.patentics.cn/invokexml.do?sf=ShowPatent&amp;spn=CN105268323&amp;sv=cc6ebd631afb81b3bc431697d411c61e","CN105268323")</f>
        <v>CN105268323</v>
      </c>
      <c r="B350" s="3" t="s">
        <v>1845</v>
      </c>
      <c r="C350" s="3" t="s">
        <v>1846</v>
      </c>
      <c r="D350" s="3" t="s">
        <v>49</v>
      </c>
      <c r="E350" s="3" t="s">
        <v>50</v>
      </c>
      <c r="F350" s="3" t="s">
        <v>1847</v>
      </c>
      <c r="G350" s="3" t="s">
        <v>1848</v>
      </c>
      <c r="H350" s="3" t="s">
        <v>0</v>
      </c>
      <c r="I350" s="3" t="s">
        <v>1420</v>
      </c>
      <c r="J350" s="3" t="s">
        <v>1849</v>
      </c>
      <c r="K350" s="3" t="s">
        <v>1843</v>
      </c>
      <c r="L350" s="3" t="s">
        <v>1850</v>
      </c>
      <c r="M350" s="3">
        <v>19</v>
      </c>
      <c r="N350" s="3">
        <v>11</v>
      </c>
      <c r="O350" s="3" t="s">
        <v>75</v>
      </c>
      <c r="P350" s="3" t="s">
        <v>44</v>
      </c>
      <c r="Q350" s="3">
        <v>1</v>
      </c>
      <c r="R350" s="3">
        <v>0</v>
      </c>
      <c r="S350" s="3">
        <v>1</v>
      </c>
      <c r="T350" s="3">
        <v>1</v>
      </c>
      <c r="U350" s="3">
        <v>1</v>
      </c>
      <c r="V350" s="3" t="s">
        <v>1851</v>
      </c>
      <c r="W350" s="3">
        <v>0</v>
      </c>
      <c r="X350" s="3">
        <v>1</v>
      </c>
      <c r="Y350" s="3">
        <v>1</v>
      </c>
      <c r="Z350" s="3">
        <v>1</v>
      </c>
      <c r="AA350" s="3">
        <v>0</v>
      </c>
      <c r="AB350" s="3">
        <v>0</v>
      </c>
      <c r="AC350" s="3">
        <v>12</v>
      </c>
      <c r="AD350" s="3" t="s">
        <v>0</v>
      </c>
      <c r="AE350" s="3" t="s">
        <v>1852</v>
      </c>
    </row>
    <row r="351" spans="1:31" ht="38.25" x14ac:dyDescent="0.2">
      <c r="A351" s="4" t="str">
        <f>HYPERLINK("http://www.patentics.cn/invokexml.do?sf=ShowPatent&amp;spn=WO2017000388&amp;sv=1e22adae25f238f723778a792745ba74","WO2017000388")</f>
        <v>WO2017000388</v>
      </c>
      <c r="B351" s="2" t="s">
        <v>1853</v>
      </c>
      <c r="C351" s="2" t="s">
        <v>1854</v>
      </c>
      <c r="D351" s="2" t="s">
        <v>36</v>
      </c>
      <c r="E351" s="2" t="s">
        <v>36</v>
      </c>
      <c r="F351" s="2" t="s">
        <v>617</v>
      </c>
      <c r="G351" s="2" t="s">
        <v>617</v>
      </c>
      <c r="H351" s="2" t="s">
        <v>1840</v>
      </c>
      <c r="I351" s="2" t="s">
        <v>1855</v>
      </c>
      <c r="J351" s="2" t="s">
        <v>1842</v>
      </c>
      <c r="K351" s="2" t="s">
        <v>1856</v>
      </c>
      <c r="L351" s="2" t="s">
        <v>1857</v>
      </c>
      <c r="M351" s="2">
        <v>0</v>
      </c>
      <c r="N351" s="2">
        <v>0</v>
      </c>
      <c r="O351" s="2" t="s">
        <v>123</v>
      </c>
      <c r="P351" s="2" t="s">
        <v>44</v>
      </c>
      <c r="Q351" s="2">
        <v>5</v>
      </c>
      <c r="R351" s="2">
        <v>0</v>
      </c>
      <c r="S351" s="2">
        <v>5</v>
      </c>
      <c r="T351" s="2">
        <v>5</v>
      </c>
      <c r="U351" s="2">
        <v>0</v>
      </c>
      <c r="V351" s="2" t="s">
        <v>45</v>
      </c>
      <c r="W351" s="2">
        <v>0</v>
      </c>
      <c r="X351" s="2">
        <v>0</v>
      </c>
      <c r="Y351" s="2">
        <v>0</v>
      </c>
      <c r="Z351" s="2">
        <v>0</v>
      </c>
      <c r="AA351" s="2">
        <v>2</v>
      </c>
      <c r="AB351" s="2">
        <v>2</v>
      </c>
      <c r="AC351" s="2" t="s">
        <v>0</v>
      </c>
      <c r="AD351" s="2">
        <v>1</v>
      </c>
      <c r="AE351" s="2" t="s">
        <v>0</v>
      </c>
    </row>
    <row r="352" spans="1:31" ht="51" x14ac:dyDescent="0.2">
      <c r="A352" s="5" t="str">
        <f>HYPERLINK("http://www.patentics.cn/invokexml.do?sf=ShowPatent&amp;spn=CN104238625&amp;sv=ac2b8d490579de914d4ade00e08a2cce","CN104238625")</f>
        <v>CN104238625</v>
      </c>
      <c r="B352" s="3" t="s">
        <v>1858</v>
      </c>
      <c r="C352" s="3" t="s">
        <v>1859</v>
      </c>
      <c r="D352" s="3" t="s">
        <v>49</v>
      </c>
      <c r="E352" s="3" t="s">
        <v>50</v>
      </c>
      <c r="F352" s="3" t="s">
        <v>1860</v>
      </c>
      <c r="G352" s="3" t="s">
        <v>1861</v>
      </c>
      <c r="H352" s="3" t="s">
        <v>0</v>
      </c>
      <c r="I352" s="3" t="s">
        <v>1862</v>
      </c>
      <c r="J352" s="3" t="s">
        <v>1863</v>
      </c>
      <c r="K352" s="3" t="s">
        <v>1856</v>
      </c>
      <c r="L352" s="3" t="s">
        <v>1857</v>
      </c>
      <c r="M352" s="3">
        <v>16</v>
      </c>
      <c r="N352" s="3">
        <v>13</v>
      </c>
      <c r="O352" s="3" t="s">
        <v>75</v>
      </c>
      <c r="P352" s="3" t="s">
        <v>44</v>
      </c>
      <c r="Q352" s="3">
        <v>0</v>
      </c>
      <c r="R352" s="3">
        <v>0</v>
      </c>
      <c r="S352" s="3">
        <v>0</v>
      </c>
      <c r="T352" s="3">
        <v>0</v>
      </c>
      <c r="U352" s="3">
        <v>1</v>
      </c>
      <c r="V352" s="3" t="s">
        <v>224</v>
      </c>
      <c r="W352" s="3">
        <v>0</v>
      </c>
      <c r="X352" s="3">
        <v>1</v>
      </c>
      <c r="Y352" s="3">
        <v>1</v>
      </c>
      <c r="Z352" s="3">
        <v>1</v>
      </c>
      <c r="AA352" s="3">
        <v>0</v>
      </c>
      <c r="AB352" s="3">
        <v>0</v>
      </c>
      <c r="AC352" s="3">
        <v>12</v>
      </c>
      <c r="AD352" s="3" t="s">
        <v>0</v>
      </c>
      <c r="AE352" s="3" t="s">
        <v>46</v>
      </c>
    </row>
    <row r="353" spans="1:31" ht="51" x14ac:dyDescent="0.2">
      <c r="A353" s="4" t="str">
        <f>HYPERLINK("http://www.patentics.cn/invokexml.do?sf=ShowPatent&amp;spn=WO2015196721&amp;sv=0a97572c01582eab531f6a739fbfb08b","WO2015196721")</f>
        <v>WO2015196721</v>
      </c>
      <c r="B353" s="2" t="s">
        <v>1864</v>
      </c>
      <c r="C353" s="2" t="s">
        <v>1865</v>
      </c>
      <c r="D353" s="2" t="s">
        <v>36</v>
      </c>
      <c r="E353" s="2" t="s">
        <v>36</v>
      </c>
      <c r="F353" s="2" t="s">
        <v>1866</v>
      </c>
      <c r="G353" s="2" t="s">
        <v>1867</v>
      </c>
      <c r="H353" s="2" t="s">
        <v>1868</v>
      </c>
      <c r="I353" s="2" t="s">
        <v>1869</v>
      </c>
      <c r="J353" s="2" t="s">
        <v>1870</v>
      </c>
      <c r="K353" s="2" t="s">
        <v>41</v>
      </c>
      <c r="L353" s="2" t="s">
        <v>84</v>
      </c>
      <c r="M353" s="2">
        <v>0</v>
      </c>
      <c r="N353" s="2">
        <v>0</v>
      </c>
      <c r="O353" s="2" t="s">
        <v>123</v>
      </c>
      <c r="P353" s="2" t="s">
        <v>44</v>
      </c>
      <c r="Q353" s="2">
        <v>5</v>
      </c>
      <c r="R353" s="2">
        <v>1</v>
      </c>
      <c r="S353" s="2">
        <v>4</v>
      </c>
      <c r="T353" s="2">
        <v>5</v>
      </c>
      <c r="U353" s="2">
        <v>0</v>
      </c>
      <c r="V353" s="2" t="s">
        <v>45</v>
      </c>
      <c r="W353" s="2">
        <v>0</v>
      </c>
      <c r="X353" s="2">
        <v>0</v>
      </c>
      <c r="Y353" s="2">
        <v>0</v>
      </c>
      <c r="Z353" s="2">
        <v>0</v>
      </c>
      <c r="AA353" s="2">
        <v>1</v>
      </c>
      <c r="AB353" s="2">
        <v>2</v>
      </c>
      <c r="AC353" s="2" t="s">
        <v>0</v>
      </c>
      <c r="AD353" s="2">
        <v>1</v>
      </c>
      <c r="AE353" s="2" t="s">
        <v>0</v>
      </c>
    </row>
    <row r="354" spans="1:31" ht="38.25" x14ac:dyDescent="0.2">
      <c r="A354" s="5" t="str">
        <f>HYPERLINK("http://www.patentics.cn/invokexml.do?sf=ShowPatent&amp;spn=CN203432032&amp;sv=f86e9d19c452e4c4b4e5bc7f346a04a6","CN203432032")</f>
        <v>CN203432032</v>
      </c>
      <c r="B354" s="3" t="s">
        <v>1871</v>
      </c>
      <c r="C354" s="3" t="s">
        <v>1872</v>
      </c>
      <c r="D354" s="3" t="s">
        <v>49</v>
      </c>
      <c r="E354" s="3" t="s">
        <v>50</v>
      </c>
      <c r="F354" s="3" t="s">
        <v>1873</v>
      </c>
      <c r="G354" s="3" t="s">
        <v>1874</v>
      </c>
      <c r="H354" s="3" t="s">
        <v>0</v>
      </c>
      <c r="I354" s="3" t="s">
        <v>1875</v>
      </c>
      <c r="J354" s="3" t="s">
        <v>1876</v>
      </c>
      <c r="K354" s="3" t="s">
        <v>41</v>
      </c>
      <c r="L354" s="3" t="s">
        <v>91</v>
      </c>
      <c r="M354" s="3">
        <v>8</v>
      </c>
      <c r="N354" s="3">
        <v>21</v>
      </c>
      <c r="O354" s="3" t="s">
        <v>55</v>
      </c>
      <c r="P354" s="3" t="s">
        <v>44</v>
      </c>
      <c r="Q354" s="3">
        <v>0</v>
      </c>
      <c r="R354" s="3">
        <v>0</v>
      </c>
      <c r="S354" s="3">
        <v>0</v>
      </c>
      <c r="T354" s="3">
        <v>0</v>
      </c>
      <c r="U354" s="3">
        <v>2</v>
      </c>
      <c r="V354" s="3" t="s">
        <v>56</v>
      </c>
      <c r="W354" s="3">
        <v>1</v>
      </c>
      <c r="X354" s="3">
        <v>1</v>
      </c>
      <c r="Y354" s="3">
        <v>2</v>
      </c>
      <c r="Z354" s="3">
        <v>1</v>
      </c>
      <c r="AA354" s="3">
        <v>0</v>
      </c>
      <c r="AB354" s="3">
        <v>0</v>
      </c>
      <c r="AC354" s="3">
        <v>12</v>
      </c>
      <c r="AD354" s="3" t="s">
        <v>0</v>
      </c>
      <c r="AE354" s="3" t="s">
        <v>46</v>
      </c>
    </row>
    <row r="355" spans="1:31" ht="63.75" x14ac:dyDescent="0.2">
      <c r="A355" s="4" t="str">
        <f>HYPERLINK("http://www.patentics.cn/invokexml.do?sf=ShowPatent&amp;spn=WO2015196432&amp;sv=f25c9318bd8b8ad8371e0ce726e7214c","WO2015196432")</f>
        <v>WO2015196432</v>
      </c>
      <c r="B355" s="2" t="s">
        <v>1877</v>
      </c>
      <c r="C355" s="2" t="s">
        <v>1878</v>
      </c>
      <c r="D355" s="2" t="s">
        <v>1879</v>
      </c>
      <c r="E355" s="2" t="s">
        <v>1880</v>
      </c>
      <c r="F355" s="2" t="s">
        <v>1881</v>
      </c>
      <c r="G355" s="2" t="s">
        <v>1882</v>
      </c>
      <c r="H355" s="2" t="s">
        <v>0</v>
      </c>
      <c r="I355" s="2" t="s">
        <v>1868</v>
      </c>
      <c r="J355" s="2" t="s">
        <v>1870</v>
      </c>
      <c r="K355" s="2" t="s">
        <v>852</v>
      </c>
      <c r="L355" s="2" t="s">
        <v>1376</v>
      </c>
      <c r="M355" s="2">
        <v>12</v>
      </c>
      <c r="N355" s="2">
        <v>0</v>
      </c>
      <c r="O355" s="2" t="s">
        <v>123</v>
      </c>
      <c r="P355" s="2" t="s">
        <v>1883</v>
      </c>
      <c r="Q355" s="2">
        <v>4</v>
      </c>
      <c r="R355" s="2">
        <v>0</v>
      </c>
      <c r="S355" s="2">
        <v>4</v>
      </c>
      <c r="T355" s="2">
        <v>4</v>
      </c>
      <c r="U355" s="2">
        <v>0</v>
      </c>
      <c r="V355" s="2" t="s">
        <v>45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 t="s">
        <v>0</v>
      </c>
      <c r="AD355" s="2">
        <v>1</v>
      </c>
      <c r="AE355" s="2" t="s">
        <v>0</v>
      </c>
    </row>
    <row r="356" spans="1:31" ht="51" x14ac:dyDescent="0.2">
      <c r="A356" s="5" t="str">
        <f>HYPERLINK("http://www.patentics.cn/invokexml.do?sf=ShowPatent&amp;spn=CN102377261&amp;sv=1649dcab86039fd94ed59978e4f298e6","CN102377261")</f>
        <v>CN102377261</v>
      </c>
      <c r="B356" s="3" t="s">
        <v>1884</v>
      </c>
      <c r="C356" s="3" t="s">
        <v>1372</v>
      </c>
      <c r="D356" s="3" t="s">
        <v>189</v>
      </c>
      <c r="E356" s="3" t="s">
        <v>190</v>
      </c>
      <c r="F356" s="3" t="s">
        <v>1373</v>
      </c>
      <c r="G356" s="3" t="s">
        <v>1374</v>
      </c>
      <c r="H356" s="3" t="s">
        <v>0</v>
      </c>
      <c r="I356" s="3" t="s">
        <v>1003</v>
      </c>
      <c r="J356" s="3" t="s">
        <v>1885</v>
      </c>
      <c r="K356" s="3" t="s">
        <v>852</v>
      </c>
      <c r="L356" s="3" t="s">
        <v>1370</v>
      </c>
      <c r="M356" s="3">
        <v>7</v>
      </c>
      <c r="N356" s="3">
        <v>33</v>
      </c>
      <c r="O356" s="3" t="s">
        <v>75</v>
      </c>
      <c r="P356" s="3" t="s">
        <v>44</v>
      </c>
      <c r="Q356" s="3">
        <v>1</v>
      </c>
      <c r="R356" s="3">
        <v>0</v>
      </c>
      <c r="S356" s="3">
        <v>1</v>
      </c>
      <c r="T356" s="3">
        <v>1</v>
      </c>
      <c r="U356" s="3">
        <v>1</v>
      </c>
      <c r="V356" s="3" t="s">
        <v>284</v>
      </c>
      <c r="W356" s="3">
        <v>0</v>
      </c>
      <c r="X356" s="3">
        <v>1</v>
      </c>
      <c r="Y356" s="3">
        <v>1</v>
      </c>
      <c r="Z356" s="3">
        <v>1</v>
      </c>
      <c r="AA356" s="3">
        <v>0</v>
      </c>
      <c r="AB356" s="3">
        <v>0</v>
      </c>
      <c r="AC356" s="3">
        <v>12</v>
      </c>
      <c r="AD356" s="3" t="s">
        <v>0</v>
      </c>
      <c r="AE356" s="3" t="s">
        <v>302</v>
      </c>
    </row>
    <row r="357" spans="1:31" ht="63.75" x14ac:dyDescent="0.2">
      <c r="A357" s="4" t="str">
        <f>HYPERLINK("http://www.patentics.cn/invokexml.do?sf=ShowPatent&amp;spn=WO2015058470&amp;sv=a28845d477e654de8ad1db2d7c29e328","WO2015058470")</f>
        <v>WO2015058470</v>
      </c>
      <c r="B357" s="2" t="s">
        <v>1886</v>
      </c>
      <c r="C357" s="2" t="s">
        <v>1887</v>
      </c>
      <c r="D357" s="2" t="s">
        <v>36</v>
      </c>
      <c r="E357" s="2" t="s">
        <v>36</v>
      </c>
      <c r="F357" s="2" t="s">
        <v>1888</v>
      </c>
      <c r="G357" s="2" t="s">
        <v>1889</v>
      </c>
      <c r="H357" s="2" t="s">
        <v>635</v>
      </c>
      <c r="I357" s="2" t="s">
        <v>1890</v>
      </c>
      <c r="J357" s="2" t="s">
        <v>1891</v>
      </c>
      <c r="K357" s="2" t="s">
        <v>41</v>
      </c>
      <c r="L357" s="2" t="s">
        <v>1743</v>
      </c>
      <c r="M357" s="2">
        <v>8</v>
      </c>
      <c r="N357" s="2">
        <v>0</v>
      </c>
      <c r="O357" s="2" t="s">
        <v>123</v>
      </c>
      <c r="P357" s="2" t="s">
        <v>44</v>
      </c>
      <c r="Q357" s="2">
        <v>6</v>
      </c>
      <c r="R357" s="2">
        <v>1</v>
      </c>
      <c r="S357" s="2">
        <v>5</v>
      </c>
      <c r="T357" s="2">
        <v>6</v>
      </c>
      <c r="U357" s="2">
        <v>0</v>
      </c>
      <c r="V357" s="2" t="s">
        <v>45</v>
      </c>
      <c r="W357" s="2">
        <v>0</v>
      </c>
      <c r="X357" s="2">
        <v>0</v>
      </c>
      <c r="Y357" s="2">
        <v>0</v>
      </c>
      <c r="Z357" s="2">
        <v>0</v>
      </c>
      <c r="AA357" s="2">
        <v>2</v>
      </c>
      <c r="AB357" s="2">
        <v>2</v>
      </c>
      <c r="AC357" s="2" t="s">
        <v>0</v>
      </c>
      <c r="AD357" s="2">
        <v>1</v>
      </c>
      <c r="AE357" s="2" t="s">
        <v>0</v>
      </c>
    </row>
    <row r="358" spans="1:31" ht="38.25" x14ac:dyDescent="0.2">
      <c r="A358" s="5" t="str">
        <f>HYPERLINK("http://www.patentics.cn/invokexml.do?sf=ShowPatent&amp;spn=CN202546939&amp;sv=c8e9b8dab5e49dbe94c4d9d7ce0d7a44","CN202546939")</f>
        <v>CN202546939</v>
      </c>
      <c r="B358" s="3" t="s">
        <v>1892</v>
      </c>
      <c r="C358" s="3" t="s">
        <v>1893</v>
      </c>
      <c r="D358" s="3" t="s">
        <v>49</v>
      </c>
      <c r="E358" s="3" t="s">
        <v>50</v>
      </c>
      <c r="F358" s="3" t="s">
        <v>1894</v>
      </c>
      <c r="G358" s="3" t="s">
        <v>1895</v>
      </c>
      <c r="H358" s="3" t="s">
        <v>0</v>
      </c>
      <c r="I358" s="3" t="s">
        <v>1896</v>
      </c>
      <c r="J358" s="3" t="s">
        <v>1330</v>
      </c>
      <c r="K358" s="3" t="s">
        <v>41</v>
      </c>
      <c r="L358" s="3" t="s">
        <v>42</v>
      </c>
      <c r="M358" s="3">
        <v>10</v>
      </c>
      <c r="N358" s="3">
        <v>11</v>
      </c>
      <c r="O358" s="3" t="s">
        <v>55</v>
      </c>
      <c r="P358" s="3" t="s">
        <v>44</v>
      </c>
      <c r="Q358" s="3">
        <v>0</v>
      </c>
      <c r="R358" s="3">
        <v>0</v>
      </c>
      <c r="S358" s="3">
        <v>0</v>
      </c>
      <c r="T358" s="3">
        <v>0</v>
      </c>
      <c r="U358" s="3">
        <v>1</v>
      </c>
      <c r="V358" s="3" t="s">
        <v>339</v>
      </c>
      <c r="W358" s="3">
        <v>0</v>
      </c>
      <c r="X358" s="3">
        <v>1</v>
      </c>
      <c r="Y358" s="3">
        <v>1</v>
      </c>
      <c r="Z358" s="3">
        <v>1</v>
      </c>
      <c r="AA358" s="3">
        <v>0</v>
      </c>
      <c r="AB358" s="3">
        <v>0</v>
      </c>
      <c r="AC358" s="3">
        <v>12</v>
      </c>
      <c r="AD358" s="3" t="s">
        <v>0</v>
      </c>
      <c r="AE358" s="3" t="s">
        <v>46</v>
      </c>
    </row>
    <row r="359" spans="1:31" ht="38.25" x14ac:dyDescent="0.2">
      <c r="A359" s="4" t="str">
        <f>HYPERLINK("http://www.patentics.cn/invokexml.do?sf=ShowPatent&amp;spn=WO2015014084&amp;sv=92c7221779f03ec9516dedfee3e1c21e","WO2015014084")</f>
        <v>WO2015014084</v>
      </c>
      <c r="B359" s="2" t="s">
        <v>1897</v>
      </c>
      <c r="C359" s="2" t="s">
        <v>1898</v>
      </c>
      <c r="D359" s="2" t="s">
        <v>1899</v>
      </c>
      <c r="E359" s="2" t="s">
        <v>1900</v>
      </c>
      <c r="F359" s="2" t="s">
        <v>1901</v>
      </c>
      <c r="G359" s="2" t="s">
        <v>1902</v>
      </c>
      <c r="H359" s="2" t="s">
        <v>1726</v>
      </c>
      <c r="I359" s="2" t="s">
        <v>1903</v>
      </c>
      <c r="J359" s="2" t="s">
        <v>1904</v>
      </c>
      <c r="K359" s="2" t="s">
        <v>154</v>
      </c>
      <c r="L359" s="2" t="s">
        <v>155</v>
      </c>
      <c r="M359" s="2">
        <v>12</v>
      </c>
      <c r="N359" s="2">
        <v>4</v>
      </c>
      <c r="O359" s="2" t="s">
        <v>123</v>
      </c>
      <c r="P359" s="2" t="s">
        <v>44</v>
      </c>
      <c r="Q359" s="2">
        <v>5</v>
      </c>
      <c r="R359" s="2">
        <v>1</v>
      </c>
      <c r="S359" s="2">
        <v>4</v>
      </c>
      <c r="T359" s="2">
        <v>5</v>
      </c>
      <c r="U359" s="2">
        <v>0</v>
      </c>
      <c r="V359" s="2" t="s">
        <v>45</v>
      </c>
      <c r="W359" s="2">
        <v>0</v>
      </c>
      <c r="X359" s="2">
        <v>0</v>
      </c>
      <c r="Y359" s="2">
        <v>0</v>
      </c>
      <c r="Z359" s="2">
        <v>0</v>
      </c>
      <c r="AA359" s="2">
        <v>1</v>
      </c>
      <c r="AB359" s="2">
        <v>2</v>
      </c>
      <c r="AC359" s="2" t="s">
        <v>0</v>
      </c>
      <c r="AD359" s="2">
        <v>1</v>
      </c>
      <c r="AE359" s="2" t="s">
        <v>0</v>
      </c>
    </row>
    <row r="360" spans="1:31" ht="38.25" x14ac:dyDescent="0.2">
      <c r="A360" s="5" t="str">
        <f>HYPERLINK("http://www.patentics.cn/invokexml.do?sf=ShowPatent&amp;spn=CN202901589&amp;sv=277bf6e0638e23ba389fa99e602325c6","CN202901589")</f>
        <v>CN202901589</v>
      </c>
      <c r="B360" s="3" t="s">
        <v>1905</v>
      </c>
      <c r="C360" s="3" t="s">
        <v>1906</v>
      </c>
      <c r="D360" s="3" t="s">
        <v>49</v>
      </c>
      <c r="E360" s="3" t="s">
        <v>50</v>
      </c>
      <c r="F360" s="3" t="s">
        <v>165</v>
      </c>
      <c r="G360" s="3" t="s">
        <v>166</v>
      </c>
      <c r="H360" s="3" t="s">
        <v>0</v>
      </c>
      <c r="I360" s="3" t="s">
        <v>1907</v>
      </c>
      <c r="J360" s="3" t="s">
        <v>1566</v>
      </c>
      <c r="K360" s="3" t="s">
        <v>154</v>
      </c>
      <c r="L360" s="3" t="s">
        <v>169</v>
      </c>
      <c r="M360" s="3">
        <v>8</v>
      </c>
      <c r="N360" s="3">
        <v>13</v>
      </c>
      <c r="O360" s="3" t="s">
        <v>55</v>
      </c>
      <c r="P360" s="3" t="s">
        <v>44</v>
      </c>
      <c r="Q360" s="3">
        <v>0</v>
      </c>
      <c r="R360" s="3">
        <v>0</v>
      </c>
      <c r="S360" s="3">
        <v>0</v>
      </c>
      <c r="T360" s="3">
        <v>0</v>
      </c>
      <c r="U360" s="3">
        <v>1</v>
      </c>
      <c r="V360" s="3" t="s">
        <v>224</v>
      </c>
      <c r="W360" s="3">
        <v>0</v>
      </c>
      <c r="X360" s="3">
        <v>1</v>
      </c>
      <c r="Y360" s="3">
        <v>1</v>
      </c>
      <c r="Z360" s="3">
        <v>1</v>
      </c>
      <c r="AA360" s="3">
        <v>0</v>
      </c>
      <c r="AB360" s="3">
        <v>0</v>
      </c>
      <c r="AC360" s="3">
        <v>12</v>
      </c>
      <c r="AD360" s="3" t="s">
        <v>0</v>
      </c>
      <c r="AE360" s="3" t="s">
        <v>57</v>
      </c>
    </row>
    <row r="361" spans="1:31" ht="51" x14ac:dyDescent="0.2">
      <c r="A361" s="4" t="str">
        <f>HYPERLINK("http://www.patentics.cn/invokexml.do?sf=ShowPatent&amp;spn=WO2015000299&amp;sv=a2b775d10be39ffeff5f881cafd9a74d","WO2015000299")</f>
        <v>WO2015000299</v>
      </c>
      <c r="B361" s="2" t="s">
        <v>1908</v>
      </c>
      <c r="C361" s="2" t="s">
        <v>1909</v>
      </c>
      <c r="D361" s="2" t="s">
        <v>1910</v>
      </c>
      <c r="E361" s="2" t="s">
        <v>1911</v>
      </c>
      <c r="F361" s="2" t="s">
        <v>1912</v>
      </c>
      <c r="G361" s="2" t="s">
        <v>1913</v>
      </c>
      <c r="H361" s="2" t="s">
        <v>1419</v>
      </c>
      <c r="I361" s="2" t="s">
        <v>1914</v>
      </c>
      <c r="J361" s="2" t="s">
        <v>1915</v>
      </c>
      <c r="K361" s="2" t="s">
        <v>41</v>
      </c>
      <c r="L361" s="2" t="s">
        <v>69</v>
      </c>
      <c r="M361" s="2">
        <v>10</v>
      </c>
      <c r="N361" s="2">
        <v>20</v>
      </c>
      <c r="O361" s="2" t="s">
        <v>123</v>
      </c>
      <c r="P361" s="2" t="s">
        <v>44</v>
      </c>
      <c r="Q361" s="2">
        <v>7</v>
      </c>
      <c r="R361" s="2">
        <v>1</v>
      </c>
      <c r="S361" s="2">
        <v>6</v>
      </c>
      <c r="T361" s="2">
        <v>6</v>
      </c>
      <c r="U361" s="2">
        <v>0</v>
      </c>
      <c r="V361" s="2" t="s">
        <v>45</v>
      </c>
      <c r="W361" s="2">
        <v>0</v>
      </c>
      <c r="X361" s="2">
        <v>0</v>
      </c>
      <c r="Y361" s="2">
        <v>0</v>
      </c>
      <c r="Z361" s="2">
        <v>0</v>
      </c>
      <c r="AA361" s="2">
        <v>2</v>
      </c>
      <c r="AB361" s="2">
        <v>2</v>
      </c>
      <c r="AC361" s="2" t="s">
        <v>0</v>
      </c>
      <c r="AD361" s="2">
        <v>1</v>
      </c>
      <c r="AE361" s="2" t="s">
        <v>0</v>
      </c>
    </row>
    <row r="362" spans="1:31" ht="38.25" x14ac:dyDescent="0.2">
      <c r="A362" s="5" t="str">
        <f>HYPERLINK("http://www.patentics.cn/invokexml.do?sf=ShowPatent&amp;spn=CN202581730&amp;sv=d413598db14c6b16303664544c9778e6","CN202581730")</f>
        <v>CN202581730</v>
      </c>
      <c r="B362" s="3" t="s">
        <v>1916</v>
      </c>
      <c r="C362" s="3" t="s">
        <v>1917</v>
      </c>
      <c r="D362" s="3" t="s">
        <v>49</v>
      </c>
      <c r="E362" s="3" t="s">
        <v>50</v>
      </c>
      <c r="F362" s="3" t="s">
        <v>1918</v>
      </c>
      <c r="G362" s="3" t="s">
        <v>52</v>
      </c>
      <c r="H362" s="3" t="s">
        <v>0</v>
      </c>
      <c r="I362" s="3" t="s">
        <v>1919</v>
      </c>
      <c r="J362" s="3" t="s">
        <v>223</v>
      </c>
      <c r="K362" s="3" t="s">
        <v>41</v>
      </c>
      <c r="L362" s="3" t="s">
        <v>69</v>
      </c>
      <c r="M362" s="3">
        <v>12</v>
      </c>
      <c r="N362" s="3">
        <v>14</v>
      </c>
      <c r="O362" s="3" t="s">
        <v>55</v>
      </c>
      <c r="P362" s="3" t="s">
        <v>44</v>
      </c>
      <c r="Q362" s="3">
        <v>0</v>
      </c>
      <c r="R362" s="3">
        <v>0</v>
      </c>
      <c r="S362" s="3">
        <v>0</v>
      </c>
      <c r="T362" s="3">
        <v>0</v>
      </c>
      <c r="U362" s="3">
        <v>2</v>
      </c>
      <c r="V362" s="3" t="s">
        <v>1920</v>
      </c>
      <c r="W362" s="3">
        <v>1</v>
      </c>
      <c r="X362" s="3">
        <v>1</v>
      </c>
      <c r="Y362" s="3">
        <v>2</v>
      </c>
      <c r="Z362" s="3">
        <v>2</v>
      </c>
      <c r="AA362" s="3">
        <v>0</v>
      </c>
      <c r="AB362" s="3">
        <v>0</v>
      </c>
      <c r="AC362" s="3">
        <v>12</v>
      </c>
      <c r="AD362" s="3" t="s">
        <v>0</v>
      </c>
      <c r="AE362" s="3" t="s">
        <v>57</v>
      </c>
    </row>
    <row r="363" spans="1:31" ht="76.5" x14ac:dyDescent="0.2">
      <c r="A363" s="4" t="str">
        <f>HYPERLINK("http://www.patentics.cn/invokexml.do?sf=ShowPatent&amp;spn=WO2014183408&amp;sv=e1f9f92e4165362eb080fdbd717067ea","WO2014183408")</f>
        <v>WO2014183408</v>
      </c>
      <c r="B363" s="2" t="s">
        <v>1921</v>
      </c>
      <c r="C363" s="2" t="s">
        <v>1922</v>
      </c>
      <c r="D363" s="2" t="s">
        <v>1879</v>
      </c>
      <c r="E363" s="2" t="s">
        <v>1880</v>
      </c>
      <c r="F363" s="2" t="s">
        <v>1923</v>
      </c>
      <c r="G363" s="2" t="s">
        <v>1924</v>
      </c>
      <c r="H363" s="2" t="s">
        <v>1925</v>
      </c>
      <c r="I363" s="2" t="s">
        <v>1926</v>
      </c>
      <c r="J363" s="2" t="s">
        <v>1927</v>
      </c>
      <c r="K363" s="2" t="s">
        <v>852</v>
      </c>
      <c r="L363" s="2" t="s">
        <v>1376</v>
      </c>
      <c r="M363" s="2">
        <v>9</v>
      </c>
      <c r="N363" s="2">
        <v>23</v>
      </c>
      <c r="O363" s="2" t="s">
        <v>123</v>
      </c>
      <c r="P363" s="2" t="s">
        <v>44</v>
      </c>
      <c r="Q363" s="2">
        <v>9</v>
      </c>
      <c r="R363" s="2">
        <v>0</v>
      </c>
      <c r="S363" s="2">
        <v>9</v>
      </c>
      <c r="T363" s="2">
        <v>7</v>
      </c>
      <c r="U363" s="2">
        <v>0</v>
      </c>
      <c r="V363" s="2" t="s">
        <v>45</v>
      </c>
      <c r="W363" s="2">
        <v>0</v>
      </c>
      <c r="X363" s="2">
        <v>0</v>
      </c>
      <c r="Y363" s="2">
        <v>0</v>
      </c>
      <c r="Z363" s="2">
        <v>0</v>
      </c>
      <c r="AA363" s="2">
        <v>3</v>
      </c>
      <c r="AB363" s="2">
        <v>4</v>
      </c>
      <c r="AC363" s="2" t="s">
        <v>0</v>
      </c>
      <c r="AD363" s="2">
        <v>1</v>
      </c>
      <c r="AE363" s="2" t="s">
        <v>0</v>
      </c>
    </row>
    <row r="364" spans="1:31" ht="76.5" x14ac:dyDescent="0.2">
      <c r="A364" s="5" t="str">
        <f>HYPERLINK("http://www.patentics.cn/invokexml.do?sf=ShowPatent&amp;spn=CN202840705&amp;sv=8c3510d3939cb3d291c0895e77beb262","CN202840705")</f>
        <v>CN202840705</v>
      </c>
      <c r="B364" s="3" t="s">
        <v>1928</v>
      </c>
      <c r="C364" s="3" t="s">
        <v>1929</v>
      </c>
      <c r="D364" s="3" t="s">
        <v>1930</v>
      </c>
      <c r="E364" s="3" t="s">
        <v>1931</v>
      </c>
      <c r="F364" s="3" t="s">
        <v>1932</v>
      </c>
      <c r="G364" s="3" t="s">
        <v>1933</v>
      </c>
      <c r="H364" s="3" t="s">
        <v>0</v>
      </c>
      <c r="I364" s="3" t="s">
        <v>1934</v>
      </c>
      <c r="J364" s="3" t="s">
        <v>273</v>
      </c>
      <c r="K364" s="3" t="s">
        <v>852</v>
      </c>
      <c r="L364" s="3" t="s">
        <v>1376</v>
      </c>
      <c r="M364" s="3">
        <v>10</v>
      </c>
      <c r="N364" s="3">
        <v>8</v>
      </c>
      <c r="O364" s="3" t="s">
        <v>55</v>
      </c>
      <c r="P364" s="3" t="s">
        <v>44</v>
      </c>
      <c r="Q364" s="3">
        <v>0</v>
      </c>
      <c r="R364" s="3">
        <v>0</v>
      </c>
      <c r="S364" s="3">
        <v>0</v>
      </c>
      <c r="T364" s="3">
        <v>0</v>
      </c>
      <c r="U364" s="3">
        <v>1</v>
      </c>
      <c r="V364" s="3" t="s">
        <v>1552</v>
      </c>
      <c r="W364" s="3">
        <v>0</v>
      </c>
      <c r="X364" s="3">
        <v>1</v>
      </c>
      <c r="Y364" s="3">
        <v>1</v>
      </c>
      <c r="Z364" s="3">
        <v>1</v>
      </c>
      <c r="AA364" s="3">
        <v>0</v>
      </c>
      <c r="AB364" s="3">
        <v>0</v>
      </c>
      <c r="AC364" s="3">
        <v>12</v>
      </c>
      <c r="AD364" s="3" t="s">
        <v>0</v>
      </c>
      <c r="AE364" s="3" t="s">
        <v>46</v>
      </c>
    </row>
    <row r="365" spans="1:31" ht="127.5" x14ac:dyDescent="0.2">
      <c r="A365" s="4" t="str">
        <f>HYPERLINK("http://www.patentics.cn/invokexml.do?sf=ShowPatent&amp;spn=WO2013155856&amp;sv=1407f6a07954fd0dded2c534ebf4ff33","WO2013155856")</f>
        <v>WO2013155856</v>
      </c>
      <c r="B365" s="2" t="s">
        <v>1935</v>
      </c>
      <c r="C365" s="2" t="s">
        <v>1936</v>
      </c>
      <c r="D365" s="2" t="s">
        <v>1937</v>
      </c>
      <c r="E365" s="2" t="s">
        <v>1938</v>
      </c>
      <c r="F365" s="2" t="s">
        <v>1939</v>
      </c>
      <c r="G365" s="2" t="s">
        <v>1940</v>
      </c>
      <c r="H365" s="2" t="s">
        <v>1941</v>
      </c>
      <c r="I365" s="2" t="s">
        <v>1942</v>
      </c>
      <c r="J365" s="2" t="s">
        <v>1943</v>
      </c>
      <c r="K365" s="2" t="s">
        <v>41</v>
      </c>
      <c r="L365" s="2" t="s">
        <v>42</v>
      </c>
      <c r="M365" s="2">
        <v>16</v>
      </c>
      <c r="N365" s="2">
        <v>12</v>
      </c>
      <c r="O365" s="2" t="s">
        <v>123</v>
      </c>
      <c r="P365" s="2" t="s">
        <v>44</v>
      </c>
      <c r="Q365" s="2">
        <v>7</v>
      </c>
      <c r="R365" s="2">
        <v>1</v>
      </c>
      <c r="S365" s="2">
        <v>6</v>
      </c>
      <c r="T365" s="2">
        <v>6</v>
      </c>
      <c r="U365" s="2">
        <v>0</v>
      </c>
      <c r="V365" s="2" t="s">
        <v>45</v>
      </c>
      <c r="W365" s="2">
        <v>0</v>
      </c>
      <c r="X365" s="2">
        <v>0</v>
      </c>
      <c r="Y365" s="2">
        <v>0</v>
      </c>
      <c r="Z365" s="2">
        <v>0</v>
      </c>
      <c r="AA365" s="2">
        <v>2</v>
      </c>
      <c r="AB365" s="2">
        <v>3</v>
      </c>
      <c r="AC365" s="2" t="s">
        <v>0</v>
      </c>
      <c r="AD365" s="2">
        <v>1</v>
      </c>
      <c r="AE365" s="2" t="s">
        <v>0</v>
      </c>
    </row>
    <row r="366" spans="1:31" ht="63.75" x14ac:dyDescent="0.2">
      <c r="A366" s="5" t="str">
        <f>HYPERLINK("http://www.patentics.cn/invokexml.do?sf=ShowPatent&amp;spn=CN201875822&amp;sv=aa85a320e14eaa066284e5545c32f3db","CN201875822")</f>
        <v>CN201875822</v>
      </c>
      <c r="B366" s="3" t="s">
        <v>1944</v>
      </c>
      <c r="C366" s="3" t="s">
        <v>1945</v>
      </c>
      <c r="D366" s="3" t="s">
        <v>49</v>
      </c>
      <c r="E366" s="3" t="s">
        <v>50</v>
      </c>
      <c r="F366" s="3" t="s">
        <v>1946</v>
      </c>
      <c r="G366" s="3" t="s">
        <v>52</v>
      </c>
      <c r="H366" s="3" t="s">
        <v>0</v>
      </c>
      <c r="I366" s="3" t="s">
        <v>1947</v>
      </c>
      <c r="J366" s="3" t="s">
        <v>1016</v>
      </c>
      <c r="K366" s="3" t="s">
        <v>41</v>
      </c>
      <c r="L366" s="3" t="s">
        <v>428</v>
      </c>
      <c r="M366" s="3">
        <v>10</v>
      </c>
      <c r="N366" s="3">
        <v>20</v>
      </c>
      <c r="O366" s="3" t="s">
        <v>55</v>
      </c>
      <c r="P366" s="3" t="s">
        <v>44</v>
      </c>
      <c r="Q366" s="3">
        <v>1</v>
      </c>
      <c r="R366" s="3">
        <v>1</v>
      </c>
      <c r="S366" s="3">
        <v>0</v>
      </c>
      <c r="T366" s="3">
        <v>1</v>
      </c>
      <c r="U366" s="3">
        <v>6</v>
      </c>
      <c r="V366" s="3" t="s">
        <v>1948</v>
      </c>
      <c r="W366" s="3">
        <v>5</v>
      </c>
      <c r="X366" s="3">
        <v>1</v>
      </c>
      <c r="Y366" s="3">
        <v>2</v>
      </c>
      <c r="Z366" s="3">
        <v>2</v>
      </c>
      <c r="AA366" s="3">
        <v>0</v>
      </c>
      <c r="AB366" s="3">
        <v>0</v>
      </c>
      <c r="AC366" s="3">
        <v>12</v>
      </c>
      <c r="AD366" s="3" t="s">
        <v>0</v>
      </c>
      <c r="AE366" s="3" t="s">
        <v>46</v>
      </c>
    </row>
    <row r="367" spans="1:31" ht="76.5" x14ac:dyDescent="0.2">
      <c r="A367" s="4" t="str">
        <f>HYPERLINK("http://www.patentics.cn/invokexml.do?sf=ShowPatent&amp;spn=WO2013155837&amp;sv=bc59537569067ebc09e5082c72e2dfd2","WO2013155837")</f>
        <v>WO2013155837</v>
      </c>
      <c r="B367" s="2" t="s">
        <v>1949</v>
      </c>
      <c r="C367" s="2" t="s">
        <v>1950</v>
      </c>
      <c r="D367" s="2" t="s">
        <v>36</v>
      </c>
      <c r="E367" s="2" t="s">
        <v>36</v>
      </c>
      <c r="F367" s="2" t="s">
        <v>1951</v>
      </c>
      <c r="G367" s="2" t="s">
        <v>1952</v>
      </c>
      <c r="H367" s="2" t="s">
        <v>1953</v>
      </c>
      <c r="I367" s="2" t="s">
        <v>1954</v>
      </c>
      <c r="J367" s="2" t="s">
        <v>1943</v>
      </c>
      <c r="K367" s="2" t="s">
        <v>41</v>
      </c>
      <c r="L367" s="2" t="s">
        <v>42</v>
      </c>
      <c r="M367" s="2">
        <v>13</v>
      </c>
      <c r="N367" s="2">
        <v>13</v>
      </c>
      <c r="O367" s="2" t="s">
        <v>123</v>
      </c>
      <c r="P367" s="2" t="s">
        <v>44</v>
      </c>
      <c r="Q367" s="2">
        <v>7</v>
      </c>
      <c r="R367" s="2">
        <v>2</v>
      </c>
      <c r="S367" s="2">
        <v>5</v>
      </c>
      <c r="T367" s="2">
        <v>6</v>
      </c>
      <c r="U367" s="2">
        <v>0</v>
      </c>
      <c r="V367" s="2" t="s">
        <v>45</v>
      </c>
      <c r="W367" s="2">
        <v>0</v>
      </c>
      <c r="X367" s="2">
        <v>0</v>
      </c>
      <c r="Y367" s="2">
        <v>0</v>
      </c>
      <c r="Z367" s="2">
        <v>0</v>
      </c>
      <c r="AA367" s="2">
        <v>1</v>
      </c>
      <c r="AB367" s="2">
        <v>2</v>
      </c>
      <c r="AC367" s="2" t="s">
        <v>0</v>
      </c>
      <c r="AD367" s="2">
        <v>1</v>
      </c>
      <c r="AE367" s="2" t="s">
        <v>0</v>
      </c>
    </row>
    <row r="368" spans="1:31" ht="25.5" x14ac:dyDescent="0.2">
      <c r="A368" s="5" t="str">
        <f>HYPERLINK("http://www.patentics.cn/invokexml.do?sf=ShowPatent&amp;spn=CN2893513&amp;sv=077f30b0a2efe4fdf3b9b7295c9a4a4b","CN2893513")</f>
        <v>CN2893513</v>
      </c>
      <c r="B368" s="3" t="s">
        <v>1309</v>
      </c>
      <c r="C368" s="3" t="s">
        <v>1310</v>
      </c>
      <c r="D368" s="3" t="s">
        <v>49</v>
      </c>
      <c r="E368" s="3" t="s">
        <v>50</v>
      </c>
      <c r="F368" s="3" t="s">
        <v>1311</v>
      </c>
      <c r="G368" s="3" t="s">
        <v>1312</v>
      </c>
      <c r="H368" s="3" t="s">
        <v>0</v>
      </c>
      <c r="I368" s="3" t="s">
        <v>1313</v>
      </c>
      <c r="J368" s="3" t="s">
        <v>1314</v>
      </c>
      <c r="K368" s="3" t="s">
        <v>41</v>
      </c>
      <c r="L368" s="3" t="s">
        <v>1315</v>
      </c>
      <c r="M368" s="3">
        <v>8</v>
      </c>
      <c r="N368" s="3">
        <v>15</v>
      </c>
      <c r="O368" s="3" t="s">
        <v>55</v>
      </c>
      <c r="P368" s="3" t="s">
        <v>44</v>
      </c>
      <c r="Q368" s="3">
        <v>0</v>
      </c>
      <c r="R368" s="3">
        <v>0</v>
      </c>
      <c r="S368" s="3">
        <v>0</v>
      </c>
      <c r="T368" s="3">
        <v>0</v>
      </c>
      <c r="U368" s="3">
        <v>3</v>
      </c>
      <c r="V368" s="3" t="s">
        <v>1316</v>
      </c>
      <c r="W368" s="3">
        <v>0</v>
      </c>
      <c r="X368" s="3">
        <v>3</v>
      </c>
      <c r="Y368" s="3">
        <v>2</v>
      </c>
      <c r="Z368" s="3">
        <v>2</v>
      </c>
      <c r="AA368" s="3">
        <v>0</v>
      </c>
      <c r="AB368" s="3">
        <v>0</v>
      </c>
      <c r="AC368" s="3">
        <v>12</v>
      </c>
      <c r="AD368" s="3" t="s">
        <v>0</v>
      </c>
      <c r="AE368" s="3" t="s">
        <v>57</v>
      </c>
    </row>
    <row r="369" spans="1:31" ht="38.25" x14ac:dyDescent="0.2">
      <c r="A369" s="4" t="str">
        <f>HYPERLINK("http://www.patentics.cn/invokexml.do?sf=ShowPatent&amp;spn=CN205536143&amp;sv=3798fd5994b681cf313f10ca9c910463","CN205536143")</f>
        <v>CN205536143</v>
      </c>
      <c r="B369" s="2" t="s">
        <v>1955</v>
      </c>
      <c r="C369" s="2" t="s">
        <v>1956</v>
      </c>
      <c r="D369" s="2" t="s">
        <v>925</v>
      </c>
      <c r="E369" s="2" t="s">
        <v>624</v>
      </c>
      <c r="F369" s="2" t="s">
        <v>950</v>
      </c>
      <c r="G369" s="2" t="s">
        <v>950</v>
      </c>
      <c r="H369" s="2" t="s">
        <v>0</v>
      </c>
      <c r="I369" s="2" t="s">
        <v>1957</v>
      </c>
      <c r="J369" s="2" t="s">
        <v>1958</v>
      </c>
      <c r="K369" s="2" t="s">
        <v>41</v>
      </c>
      <c r="L369" s="2" t="s">
        <v>42</v>
      </c>
      <c r="M369" s="2">
        <v>10</v>
      </c>
      <c r="N369" s="2">
        <v>17</v>
      </c>
      <c r="O369" s="2" t="s">
        <v>55</v>
      </c>
      <c r="P369" s="2" t="s">
        <v>44</v>
      </c>
      <c r="Q369" s="2">
        <v>2</v>
      </c>
      <c r="R369" s="2">
        <v>1</v>
      </c>
      <c r="S369" s="2">
        <v>1</v>
      </c>
      <c r="T369" s="2">
        <v>2</v>
      </c>
      <c r="U369" s="2">
        <v>0</v>
      </c>
      <c r="V369" s="2" t="s">
        <v>45</v>
      </c>
      <c r="W369" s="2">
        <v>0</v>
      </c>
      <c r="X369" s="2">
        <v>0</v>
      </c>
      <c r="Y369" s="2">
        <v>0</v>
      </c>
      <c r="Z369" s="2">
        <v>0</v>
      </c>
      <c r="AA369" s="2">
        <v>0</v>
      </c>
      <c r="AB369" s="2">
        <v>0</v>
      </c>
      <c r="AC369" s="2" t="s">
        <v>0</v>
      </c>
      <c r="AD369" s="2">
        <v>1</v>
      </c>
      <c r="AE369" s="2" t="s">
        <v>46</v>
      </c>
    </row>
    <row r="370" spans="1:31" ht="25.5" x14ac:dyDescent="0.2">
      <c r="A370" s="5" t="str">
        <f>HYPERLINK("http://www.patentics.cn/invokexml.do?sf=ShowPatent&amp;spn=CN102644975&amp;sv=1ce23019a50bff3f415a84a00818f845","CN102644975")</f>
        <v>CN102644975</v>
      </c>
      <c r="B370" s="3" t="s">
        <v>1959</v>
      </c>
      <c r="C370" s="3" t="s">
        <v>874</v>
      </c>
      <c r="D370" s="3" t="s">
        <v>49</v>
      </c>
      <c r="E370" s="3" t="s">
        <v>50</v>
      </c>
      <c r="F370" s="3" t="s">
        <v>1960</v>
      </c>
      <c r="G370" s="3" t="s">
        <v>1562</v>
      </c>
      <c r="H370" s="3" t="s">
        <v>0</v>
      </c>
      <c r="I370" s="3" t="s">
        <v>1961</v>
      </c>
      <c r="J370" s="3" t="s">
        <v>1816</v>
      </c>
      <c r="K370" s="3" t="s">
        <v>41</v>
      </c>
      <c r="L370" s="3" t="s">
        <v>42</v>
      </c>
      <c r="M370" s="3">
        <v>10</v>
      </c>
      <c r="N370" s="3">
        <v>15</v>
      </c>
      <c r="O370" s="3" t="s">
        <v>75</v>
      </c>
      <c r="P370" s="3" t="s">
        <v>44</v>
      </c>
      <c r="Q370" s="3">
        <v>1</v>
      </c>
      <c r="R370" s="3">
        <v>0</v>
      </c>
      <c r="S370" s="3">
        <v>1</v>
      </c>
      <c r="T370" s="3">
        <v>1</v>
      </c>
      <c r="U370" s="3">
        <v>3</v>
      </c>
      <c r="V370" s="3" t="s">
        <v>664</v>
      </c>
      <c r="W370" s="3">
        <v>0</v>
      </c>
      <c r="X370" s="3">
        <v>3</v>
      </c>
      <c r="Y370" s="3">
        <v>1</v>
      </c>
      <c r="Z370" s="3">
        <v>1</v>
      </c>
      <c r="AA370" s="3">
        <v>0</v>
      </c>
      <c r="AB370" s="3">
        <v>0</v>
      </c>
      <c r="AC370" s="3">
        <v>12</v>
      </c>
      <c r="AD370" s="3" t="s">
        <v>0</v>
      </c>
      <c r="AE370" s="3" t="s">
        <v>100</v>
      </c>
    </row>
    <row r="371" spans="1:31" ht="38.25" x14ac:dyDescent="0.2">
      <c r="A371" s="4" t="str">
        <f>HYPERLINK("http://www.patentics.cn/invokexml.do?sf=ShowPatent&amp;spn=CN205536141&amp;sv=1a54094976f7717b4218ec3a2ff62a78","CN205536141")</f>
        <v>CN205536141</v>
      </c>
      <c r="B371" s="2" t="s">
        <v>1962</v>
      </c>
      <c r="C371" s="2" t="s">
        <v>1963</v>
      </c>
      <c r="D371" s="2" t="s">
        <v>925</v>
      </c>
      <c r="E371" s="2" t="s">
        <v>624</v>
      </c>
      <c r="F371" s="2" t="s">
        <v>1964</v>
      </c>
      <c r="G371" s="2" t="s">
        <v>950</v>
      </c>
      <c r="H371" s="2" t="s">
        <v>0</v>
      </c>
      <c r="I371" s="2" t="s">
        <v>1957</v>
      </c>
      <c r="J371" s="2" t="s">
        <v>1958</v>
      </c>
      <c r="K371" s="2" t="s">
        <v>41</v>
      </c>
      <c r="L371" s="2" t="s">
        <v>42</v>
      </c>
      <c r="M371" s="2">
        <v>10</v>
      </c>
      <c r="N371" s="2">
        <v>14</v>
      </c>
      <c r="O371" s="2" t="s">
        <v>55</v>
      </c>
      <c r="P371" s="2" t="s">
        <v>44</v>
      </c>
      <c r="Q371" s="2">
        <v>1</v>
      </c>
      <c r="R371" s="2">
        <v>0</v>
      </c>
      <c r="S371" s="2">
        <v>1</v>
      </c>
      <c r="T371" s="2">
        <v>1</v>
      </c>
      <c r="U371" s="2">
        <v>0</v>
      </c>
      <c r="V371" s="2" t="s">
        <v>45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 t="s">
        <v>0</v>
      </c>
      <c r="AD371" s="2">
        <v>1</v>
      </c>
      <c r="AE371" s="2" t="s">
        <v>46</v>
      </c>
    </row>
    <row r="372" spans="1:31" ht="25.5" x14ac:dyDescent="0.2">
      <c r="A372" s="5" t="str">
        <f>HYPERLINK("http://www.patentics.cn/invokexml.do?sf=ShowPatent&amp;spn=CN102644975&amp;sv=1ce23019a50bff3f415a84a00818f845","CN102644975")</f>
        <v>CN102644975</v>
      </c>
      <c r="B372" s="3" t="s">
        <v>1959</v>
      </c>
      <c r="C372" s="3" t="s">
        <v>874</v>
      </c>
      <c r="D372" s="3" t="s">
        <v>49</v>
      </c>
      <c r="E372" s="3" t="s">
        <v>50</v>
      </c>
      <c r="F372" s="3" t="s">
        <v>1960</v>
      </c>
      <c r="G372" s="3" t="s">
        <v>1562</v>
      </c>
      <c r="H372" s="3" t="s">
        <v>0</v>
      </c>
      <c r="I372" s="3" t="s">
        <v>1961</v>
      </c>
      <c r="J372" s="3" t="s">
        <v>1816</v>
      </c>
      <c r="K372" s="3" t="s">
        <v>41</v>
      </c>
      <c r="L372" s="3" t="s">
        <v>42</v>
      </c>
      <c r="M372" s="3">
        <v>10</v>
      </c>
      <c r="N372" s="3">
        <v>15</v>
      </c>
      <c r="O372" s="3" t="s">
        <v>75</v>
      </c>
      <c r="P372" s="3" t="s">
        <v>44</v>
      </c>
      <c r="Q372" s="3">
        <v>1</v>
      </c>
      <c r="R372" s="3">
        <v>0</v>
      </c>
      <c r="S372" s="3">
        <v>1</v>
      </c>
      <c r="T372" s="3">
        <v>1</v>
      </c>
      <c r="U372" s="3">
        <v>3</v>
      </c>
      <c r="V372" s="3" t="s">
        <v>664</v>
      </c>
      <c r="W372" s="3">
        <v>0</v>
      </c>
      <c r="X372" s="3">
        <v>3</v>
      </c>
      <c r="Y372" s="3">
        <v>1</v>
      </c>
      <c r="Z372" s="3">
        <v>1</v>
      </c>
      <c r="AA372" s="3">
        <v>0</v>
      </c>
      <c r="AB372" s="3">
        <v>0</v>
      </c>
      <c r="AC372" s="3">
        <v>12</v>
      </c>
      <c r="AD372" s="3" t="s">
        <v>0</v>
      </c>
      <c r="AE372" s="3" t="s">
        <v>100</v>
      </c>
    </row>
    <row r="373" spans="1:31" ht="38.25" x14ac:dyDescent="0.2">
      <c r="A373" s="4" t="str">
        <f>HYPERLINK("http://www.patentics.cn/invokexml.do?sf=ShowPatent&amp;spn=CN205316650&amp;sv=97244a7fb6d3dd08827ccc0a4632683c","CN205316650")</f>
        <v>CN205316650</v>
      </c>
      <c r="B373" s="2" t="s">
        <v>1965</v>
      </c>
      <c r="C373" s="2" t="s">
        <v>504</v>
      </c>
      <c r="D373" s="2" t="s">
        <v>623</v>
      </c>
      <c r="E373" s="2" t="s">
        <v>624</v>
      </c>
      <c r="F373" s="2" t="s">
        <v>1966</v>
      </c>
      <c r="G373" s="2" t="s">
        <v>1967</v>
      </c>
      <c r="H373" s="2" t="s">
        <v>0</v>
      </c>
      <c r="I373" s="2" t="s">
        <v>1968</v>
      </c>
      <c r="J373" s="2" t="s">
        <v>908</v>
      </c>
      <c r="K373" s="2" t="s">
        <v>41</v>
      </c>
      <c r="L373" s="2" t="s">
        <v>1969</v>
      </c>
      <c r="M373" s="2">
        <v>10</v>
      </c>
      <c r="N373" s="2">
        <v>8</v>
      </c>
      <c r="O373" s="2" t="s">
        <v>55</v>
      </c>
      <c r="P373" s="2" t="s">
        <v>44</v>
      </c>
      <c r="Q373" s="2">
        <v>1</v>
      </c>
      <c r="R373" s="2">
        <v>0</v>
      </c>
      <c r="S373" s="2">
        <v>1</v>
      </c>
      <c r="T373" s="2">
        <v>1</v>
      </c>
      <c r="U373" s="2">
        <v>0</v>
      </c>
      <c r="V373" s="2" t="s">
        <v>45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 t="s">
        <v>0</v>
      </c>
      <c r="AD373" s="2">
        <v>1</v>
      </c>
      <c r="AE373" s="2" t="s">
        <v>46</v>
      </c>
    </row>
    <row r="374" spans="1:31" ht="63.75" x14ac:dyDescent="0.2">
      <c r="A374" s="5" t="str">
        <f>HYPERLINK("http://www.patentics.cn/invokexml.do?sf=ShowPatent&amp;spn=CN203132098&amp;sv=90620ec6e1012392aa5b3cefde26ba55","CN203132098")</f>
        <v>CN203132098</v>
      </c>
      <c r="B374" s="3" t="s">
        <v>1970</v>
      </c>
      <c r="C374" s="3" t="s">
        <v>1971</v>
      </c>
      <c r="D374" s="3" t="s">
        <v>49</v>
      </c>
      <c r="E374" s="3" t="s">
        <v>50</v>
      </c>
      <c r="F374" s="3" t="s">
        <v>1972</v>
      </c>
      <c r="G374" s="3" t="s">
        <v>1973</v>
      </c>
      <c r="H374" s="3" t="s">
        <v>0</v>
      </c>
      <c r="I374" s="3" t="s">
        <v>1974</v>
      </c>
      <c r="J374" s="3" t="s">
        <v>1975</v>
      </c>
      <c r="K374" s="3" t="s">
        <v>41</v>
      </c>
      <c r="L374" s="3" t="s">
        <v>1969</v>
      </c>
      <c r="M374" s="3">
        <v>9</v>
      </c>
      <c r="N374" s="3">
        <v>10</v>
      </c>
      <c r="O374" s="3" t="s">
        <v>55</v>
      </c>
      <c r="P374" s="3" t="s">
        <v>44</v>
      </c>
      <c r="Q374" s="3">
        <v>0</v>
      </c>
      <c r="R374" s="3">
        <v>0</v>
      </c>
      <c r="S374" s="3">
        <v>0</v>
      </c>
      <c r="T374" s="3">
        <v>0</v>
      </c>
      <c r="U374" s="3">
        <v>2</v>
      </c>
      <c r="V374" s="3" t="s">
        <v>797</v>
      </c>
      <c r="W374" s="3">
        <v>0</v>
      </c>
      <c r="X374" s="3">
        <v>2</v>
      </c>
      <c r="Y374" s="3">
        <v>1</v>
      </c>
      <c r="Z374" s="3">
        <v>1</v>
      </c>
      <c r="AA374" s="3">
        <v>0</v>
      </c>
      <c r="AB374" s="3">
        <v>0</v>
      </c>
      <c r="AC374" s="3">
        <v>12</v>
      </c>
      <c r="AD374" s="3" t="s">
        <v>0</v>
      </c>
      <c r="AE374" s="3" t="s">
        <v>46</v>
      </c>
    </row>
    <row r="375" spans="1:31" ht="38.25" x14ac:dyDescent="0.2">
      <c r="A375" s="4" t="str">
        <f>HYPERLINK("http://www.patentics.cn/invokexml.do?sf=ShowPatent&amp;spn=CN105485780&amp;sv=770fcf5a13ee262a2fdd311262a60fcf","CN105485780")</f>
        <v>CN105485780</v>
      </c>
      <c r="B375" s="2" t="s">
        <v>1976</v>
      </c>
      <c r="C375" s="2" t="s">
        <v>1956</v>
      </c>
      <c r="D375" s="2" t="s">
        <v>925</v>
      </c>
      <c r="E375" s="2" t="s">
        <v>624</v>
      </c>
      <c r="F375" s="2" t="s">
        <v>950</v>
      </c>
      <c r="G375" s="2" t="s">
        <v>950</v>
      </c>
      <c r="H375" s="2" t="s">
        <v>0</v>
      </c>
      <c r="I375" s="2" t="s">
        <v>1957</v>
      </c>
      <c r="J375" s="2" t="s">
        <v>1082</v>
      </c>
      <c r="K375" s="2" t="s">
        <v>41</v>
      </c>
      <c r="L375" s="2" t="s">
        <v>42</v>
      </c>
      <c r="M375" s="2">
        <v>10</v>
      </c>
      <c r="N375" s="2">
        <v>17</v>
      </c>
      <c r="O375" s="2" t="s">
        <v>75</v>
      </c>
      <c r="P375" s="2" t="s">
        <v>44</v>
      </c>
      <c r="Q375" s="2">
        <v>2</v>
      </c>
      <c r="R375" s="2">
        <v>1</v>
      </c>
      <c r="S375" s="2">
        <v>1</v>
      </c>
      <c r="T375" s="2">
        <v>2</v>
      </c>
      <c r="U375" s="2">
        <v>0</v>
      </c>
      <c r="V375" s="2" t="s">
        <v>45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 t="s">
        <v>0</v>
      </c>
      <c r="AD375" s="2">
        <v>1</v>
      </c>
      <c r="AE375" s="2" t="s">
        <v>1852</v>
      </c>
    </row>
    <row r="376" spans="1:31" ht="25.5" x14ac:dyDescent="0.2">
      <c r="A376" s="5" t="str">
        <f>HYPERLINK("http://www.patentics.cn/invokexml.do?sf=ShowPatent&amp;spn=CN102644975&amp;sv=1ce23019a50bff3f415a84a00818f845","CN102644975")</f>
        <v>CN102644975</v>
      </c>
      <c r="B376" s="3" t="s">
        <v>1959</v>
      </c>
      <c r="C376" s="3" t="s">
        <v>874</v>
      </c>
      <c r="D376" s="3" t="s">
        <v>49</v>
      </c>
      <c r="E376" s="3" t="s">
        <v>50</v>
      </c>
      <c r="F376" s="3" t="s">
        <v>1960</v>
      </c>
      <c r="G376" s="3" t="s">
        <v>1562</v>
      </c>
      <c r="H376" s="3" t="s">
        <v>0</v>
      </c>
      <c r="I376" s="3" t="s">
        <v>1961</v>
      </c>
      <c r="J376" s="3" t="s">
        <v>1816</v>
      </c>
      <c r="K376" s="3" t="s">
        <v>41</v>
      </c>
      <c r="L376" s="3" t="s">
        <v>42</v>
      </c>
      <c r="M376" s="3">
        <v>10</v>
      </c>
      <c r="N376" s="3">
        <v>15</v>
      </c>
      <c r="O376" s="3" t="s">
        <v>75</v>
      </c>
      <c r="P376" s="3" t="s">
        <v>44</v>
      </c>
      <c r="Q376" s="3">
        <v>1</v>
      </c>
      <c r="R376" s="3">
        <v>0</v>
      </c>
      <c r="S376" s="3">
        <v>1</v>
      </c>
      <c r="T376" s="3">
        <v>1</v>
      </c>
      <c r="U376" s="3">
        <v>3</v>
      </c>
      <c r="V376" s="3" t="s">
        <v>664</v>
      </c>
      <c r="W376" s="3">
        <v>0</v>
      </c>
      <c r="X376" s="3">
        <v>3</v>
      </c>
      <c r="Y376" s="3">
        <v>1</v>
      </c>
      <c r="Z376" s="3">
        <v>1</v>
      </c>
      <c r="AA376" s="3">
        <v>0</v>
      </c>
      <c r="AB376" s="3">
        <v>0</v>
      </c>
      <c r="AC376" s="3">
        <v>12</v>
      </c>
      <c r="AD376" s="3" t="s">
        <v>0</v>
      </c>
      <c r="AE376" s="3" t="s">
        <v>100</v>
      </c>
    </row>
    <row r="377" spans="1:31" ht="38.25" x14ac:dyDescent="0.2">
      <c r="A377" s="4" t="str">
        <f>HYPERLINK("http://www.patentics.cn/invokexml.do?sf=ShowPatent&amp;spn=CN205140746&amp;sv=6fd7587521a6b2c64cca91846b699598","CN205140746")</f>
        <v>CN205140746</v>
      </c>
      <c r="B377" s="2" t="s">
        <v>1977</v>
      </c>
      <c r="C377" s="2" t="s">
        <v>1978</v>
      </c>
      <c r="D377" s="2" t="s">
        <v>623</v>
      </c>
      <c r="E377" s="2" t="s">
        <v>624</v>
      </c>
      <c r="F377" s="2" t="s">
        <v>648</v>
      </c>
      <c r="G377" s="2" t="s">
        <v>648</v>
      </c>
      <c r="H377" s="2" t="s">
        <v>0</v>
      </c>
      <c r="I377" s="2" t="s">
        <v>1979</v>
      </c>
      <c r="J377" s="2" t="s">
        <v>384</v>
      </c>
      <c r="K377" s="2" t="s">
        <v>1980</v>
      </c>
      <c r="L377" s="2" t="s">
        <v>1981</v>
      </c>
      <c r="M377" s="2">
        <v>10</v>
      </c>
      <c r="N377" s="2">
        <v>21</v>
      </c>
      <c r="O377" s="2" t="s">
        <v>55</v>
      </c>
      <c r="P377" s="2" t="s">
        <v>44</v>
      </c>
      <c r="Q377" s="2">
        <v>1</v>
      </c>
      <c r="R377" s="2">
        <v>0</v>
      </c>
      <c r="S377" s="2">
        <v>1</v>
      </c>
      <c r="T377" s="2">
        <v>1</v>
      </c>
      <c r="U377" s="2">
        <v>0</v>
      </c>
      <c r="V377" s="2" t="s">
        <v>45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 t="s">
        <v>0</v>
      </c>
      <c r="AD377" s="2">
        <v>1</v>
      </c>
      <c r="AE377" s="2" t="s">
        <v>46</v>
      </c>
    </row>
    <row r="378" spans="1:31" ht="51" x14ac:dyDescent="0.2">
      <c r="A378" s="5" t="str">
        <f>HYPERLINK("http://www.patentics.cn/invokexml.do?sf=ShowPatent&amp;spn=CN203242500&amp;sv=3e63177a0dbc215c18ea4fa229a9aa0f","CN203242500")</f>
        <v>CN203242500</v>
      </c>
      <c r="B378" s="3" t="s">
        <v>1982</v>
      </c>
      <c r="C378" s="3" t="s">
        <v>1983</v>
      </c>
      <c r="D378" s="3" t="s">
        <v>49</v>
      </c>
      <c r="E378" s="3" t="s">
        <v>50</v>
      </c>
      <c r="F378" s="3" t="s">
        <v>1984</v>
      </c>
      <c r="G378" s="3" t="s">
        <v>1985</v>
      </c>
      <c r="H378" s="3" t="s">
        <v>0</v>
      </c>
      <c r="I378" s="3" t="s">
        <v>1986</v>
      </c>
      <c r="J378" s="3" t="s">
        <v>1987</v>
      </c>
      <c r="K378" s="3" t="s">
        <v>1980</v>
      </c>
      <c r="L378" s="3" t="s">
        <v>1981</v>
      </c>
      <c r="M378" s="3">
        <v>10</v>
      </c>
      <c r="N378" s="3">
        <v>9</v>
      </c>
      <c r="O378" s="3" t="s">
        <v>55</v>
      </c>
      <c r="P378" s="3" t="s">
        <v>44</v>
      </c>
      <c r="Q378" s="3">
        <v>0</v>
      </c>
      <c r="R378" s="3">
        <v>0</v>
      </c>
      <c r="S378" s="3">
        <v>0</v>
      </c>
      <c r="T378" s="3">
        <v>0</v>
      </c>
      <c r="U378" s="3">
        <v>2</v>
      </c>
      <c r="V378" s="3" t="s">
        <v>797</v>
      </c>
      <c r="W378" s="3">
        <v>0</v>
      </c>
      <c r="X378" s="3">
        <v>2</v>
      </c>
      <c r="Y378" s="3">
        <v>1</v>
      </c>
      <c r="Z378" s="3">
        <v>1</v>
      </c>
      <c r="AA378" s="3">
        <v>0</v>
      </c>
      <c r="AB378" s="3">
        <v>0</v>
      </c>
      <c r="AC378" s="3">
        <v>12</v>
      </c>
      <c r="AD378" s="3" t="s">
        <v>0</v>
      </c>
      <c r="AE378" s="3" t="s">
        <v>46</v>
      </c>
    </row>
    <row r="379" spans="1:31" ht="38.25" x14ac:dyDescent="0.2">
      <c r="A379" s="4" t="str">
        <f>HYPERLINK("http://www.patentics.cn/invokexml.do?sf=ShowPatent&amp;spn=CN205137740&amp;sv=9c1d11a1dada761305552b38a45899b9","CN205137740")</f>
        <v>CN205137740</v>
      </c>
      <c r="B379" s="2" t="s">
        <v>1988</v>
      </c>
      <c r="C379" s="2" t="s">
        <v>1989</v>
      </c>
      <c r="D379" s="2" t="s">
        <v>623</v>
      </c>
      <c r="E379" s="2" t="s">
        <v>624</v>
      </c>
      <c r="F379" s="2" t="s">
        <v>1990</v>
      </c>
      <c r="G379" s="2" t="s">
        <v>1990</v>
      </c>
      <c r="H379" s="2" t="s">
        <v>0</v>
      </c>
      <c r="I379" s="2" t="s">
        <v>1991</v>
      </c>
      <c r="J379" s="2" t="s">
        <v>384</v>
      </c>
      <c r="K379" s="2" t="s">
        <v>41</v>
      </c>
      <c r="L379" s="2" t="s">
        <v>1992</v>
      </c>
      <c r="M379" s="2">
        <v>10</v>
      </c>
      <c r="N379" s="2">
        <v>11</v>
      </c>
      <c r="O379" s="2" t="s">
        <v>55</v>
      </c>
      <c r="P379" s="2" t="s">
        <v>44</v>
      </c>
      <c r="Q379" s="2">
        <v>3</v>
      </c>
      <c r="R379" s="2">
        <v>0</v>
      </c>
      <c r="S379" s="2">
        <v>3</v>
      </c>
      <c r="T379" s="2">
        <v>3</v>
      </c>
      <c r="U379" s="2">
        <v>0</v>
      </c>
      <c r="V379" s="2" t="s">
        <v>45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 t="s">
        <v>0</v>
      </c>
      <c r="AD379" s="2">
        <v>1</v>
      </c>
      <c r="AE379" s="2" t="s">
        <v>46</v>
      </c>
    </row>
    <row r="380" spans="1:31" ht="51" x14ac:dyDescent="0.2">
      <c r="A380" s="5" t="str">
        <f>HYPERLINK("http://www.patentics.cn/invokexml.do?sf=ShowPatent&amp;spn=CN203771586&amp;sv=ce05d272c1de1dc1b7dc6ea066673648","CN203771586")</f>
        <v>CN203771586</v>
      </c>
      <c r="B380" s="3" t="s">
        <v>1993</v>
      </c>
      <c r="C380" s="3" t="s">
        <v>1994</v>
      </c>
      <c r="D380" s="3" t="s">
        <v>49</v>
      </c>
      <c r="E380" s="3" t="s">
        <v>50</v>
      </c>
      <c r="F380" s="3" t="s">
        <v>1995</v>
      </c>
      <c r="G380" s="3" t="s">
        <v>1996</v>
      </c>
      <c r="H380" s="3" t="s">
        <v>0</v>
      </c>
      <c r="I380" s="3" t="s">
        <v>1997</v>
      </c>
      <c r="J380" s="3" t="s">
        <v>1998</v>
      </c>
      <c r="K380" s="3" t="s">
        <v>41</v>
      </c>
      <c r="L380" s="3" t="s">
        <v>1999</v>
      </c>
      <c r="M380" s="3">
        <v>9</v>
      </c>
      <c r="N380" s="3">
        <v>8</v>
      </c>
      <c r="O380" s="3" t="s">
        <v>55</v>
      </c>
      <c r="P380" s="3" t="s">
        <v>44</v>
      </c>
      <c r="Q380" s="3">
        <v>0</v>
      </c>
      <c r="R380" s="3">
        <v>0</v>
      </c>
      <c r="S380" s="3">
        <v>0</v>
      </c>
      <c r="T380" s="3">
        <v>0</v>
      </c>
      <c r="U380" s="3">
        <v>1</v>
      </c>
      <c r="V380" s="3" t="s">
        <v>56</v>
      </c>
      <c r="W380" s="3">
        <v>0</v>
      </c>
      <c r="X380" s="3">
        <v>1</v>
      </c>
      <c r="Y380" s="3">
        <v>1</v>
      </c>
      <c r="Z380" s="3">
        <v>1</v>
      </c>
      <c r="AA380" s="3">
        <v>0</v>
      </c>
      <c r="AB380" s="3">
        <v>0</v>
      </c>
      <c r="AC380" s="3">
        <v>12</v>
      </c>
      <c r="AD380" s="3" t="s">
        <v>0</v>
      </c>
      <c r="AE380" s="3" t="s">
        <v>46</v>
      </c>
    </row>
    <row r="381" spans="1:31" ht="38.25" x14ac:dyDescent="0.2">
      <c r="A381" s="4" t="str">
        <f>HYPERLINK("http://www.patentics.cn/invokexml.do?sf=ShowPatent&amp;spn=CN205137843&amp;sv=2336cd6aeaaae81c7a353714365a14a0","CN205137843")</f>
        <v>CN205137843</v>
      </c>
      <c r="B381" s="2" t="s">
        <v>2000</v>
      </c>
      <c r="C381" s="2" t="s">
        <v>2001</v>
      </c>
      <c r="D381" s="2" t="s">
        <v>623</v>
      </c>
      <c r="E381" s="2" t="s">
        <v>624</v>
      </c>
      <c r="F381" s="2" t="s">
        <v>648</v>
      </c>
      <c r="G381" s="2" t="s">
        <v>648</v>
      </c>
      <c r="H381" s="2" t="s">
        <v>0</v>
      </c>
      <c r="I381" s="2" t="s">
        <v>1991</v>
      </c>
      <c r="J381" s="2" t="s">
        <v>384</v>
      </c>
      <c r="K381" s="2" t="s">
        <v>41</v>
      </c>
      <c r="L381" s="2" t="s">
        <v>1969</v>
      </c>
      <c r="M381" s="2">
        <v>12</v>
      </c>
      <c r="N381" s="2">
        <v>13</v>
      </c>
      <c r="O381" s="2" t="s">
        <v>55</v>
      </c>
      <c r="P381" s="2" t="s">
        <v>44</v>
      </c>
      <c r="Q381" s="2">
        <v>1</v>
      </c>
      <c r="R381" s="2">
        <v>0</v>
      </c>
      <c r="S381" s="2">
        <v>1</v>
      </c>
      <c r="T381" s="2">
        <v>1</v>
      </c>
      <c r="U381" s="2">
        <v>0</v>
      </c>
      <c r="V381" s="2" t="s">
        <v>45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 t="s">
        <v>0</v>
      </c>
      <c r="AD381" s="2">
        <v>1</v>
      </c>
      <c r="AE381" s="2" t="s">
        <v>46</v>
      </c>
    </row>
    <row r="382" spans="1:31" ht="63.75" x14ac:dyDescent="0.2">
      <c r="A382" s="5" t="str">
        <f>HYPERLINK("http://www.patentics.cn/invokexml.do?sf=ShowPatent&amp;spn=CN203132098&amp;sv=90620ec6e1012392aa5b3cefde26ba55","CN203132098")</f>
        <v>CN203132098</v>
      </c>
      <c r="B382" s="3" t="s">
        <v>1970</v>
      </c>
      <c r="C382" s="3" t="s">
        <v>1971</v>
      </c>
      <c r="D382" s="3" t="s">
        <v>49</v>
      </c>
      <c r="E382" s="3" t="s">
        <v>50</v>
      </c>
      <c r="F382" s="3" t="s">
        <v>1972</v>
      </c>
      <c r="G382" s="3" t="s">
        <v>1973</v>
      </c>
      <c r="H382" s="3" t="s">
        <v>0</v>
      </c>
      <c r="I382" s="3" t="s">
        <v>1974</v>
      </c>
      <c r="J382" s="3" t="s">
        <v>1975</v>
      </c>
      <c r="K382" s="3" t="s">
        <v>41</v>
      </c>
      <c r="L382" s="3" t="s">
        <v>1969</v>
      </c>
      <c r="M382" s="3">
        <v>9</v>
      </c>
      <c r="N382" s="3">
        <v>10</v>
      </c>
      <c r="O382" s="3" t="s">
        <v>55</v>
      </c>
      <c r="P382" s="3" t="s">
        <v>44</v>
      </c>
      <c r="Q382" s="3">
        <v>0</v>
      </c>
      <c r="R382" s="3">
        <v>0</v>
      </c>
      <c r="S382" s="3">
        <v>0</v>
      </c>
      <c r="T382" s="3">
        <v>0</v>
      </c>
      <c r="U382" s="3">
        <v>2</v>
      </c>
      <c r="V382" s="3" t="s">
        <v>797</v>
      </c>
      <c r="W382" s="3">
        <v>0</v>
      </c>
      <c r="X382" s="3">
        <v>2</v>
      </c>
      <c r="Y382" s="3">
        <v>1</v>
      </c>
      <c r="Z382" s="3">
        <v>1</v>
      </c>
      <c r="AA382" s="3">
        <v>0</v>
      </c>
      <c r="AB382" s="3">
        <v>0</v>
      </c>
      <c r="AC382" s="3">
        <v>12</v>
      </c>
      <c r="AD382" s="3" t="s">
        <v>0</v>
      </c>
      <c r="AE382" s="3" t="s">
        <v>46</v>
      </c>
    </row>
    <row r="383" spans="1:31" ht="38.25" x14ac:dyDescent="0.2">
      <c r="A383" s="4" t="str">
        <f>HYPERLINK("http://www.patentics.cn/invokexml.do?sf=ShowPatent&amp;spn=CN205137996&amp;sv=36fa4802290bbe3c1ff7efe7b44b3a82","CN205137996")</f>
        <v>CN205137996</v>
      </c>
      <c r="B383" s="2" t="s">
        <v>2002</v>
      </c>
      <c r="C383" s="2" t="s">
        <v>2003</v>
      </c>
      <c r="D383" s="2" t="s">
        <v>925</v>
      </c>
      <c r="E383" s="2" t="s">
        <v>624</v>
      </c>
      <c r="F383" s="2" t="s">
        <v>2004</v>
      </c>
      <c r="G383" s="2" t="s">
        <v>2005</v>
      </c>
      <c r="H383" s="2" t="s">
        <v>0</v>
      </c>
      <c r="I383" s="2" t="s">
        <v>2006</v>
      </c>
      <c r="J383" s="2" t="s">
        <v>384</v>
      </c>
      <c r="K383" s="2" t="s">
        <v>347</v>
      </c>
      <c r="L383" s="2" t="s">
        <v>1011</v>
      </c>
      <c r="M383" s="2">
        <v>8</v>
      </c>
      <c r="N383" s="2">
        <v>15</v>
      </c>
      <c r="O383" s="2" t="s">
        <v>55</v>
      </c>
      <c r="P383" s="2" t="s">
        <v>44</v>
      </c>
      <c r="Q383" s="2">
        <v>1</v>
      </c>
      <c r="R383" s="2">
        <v>0</v>
      </c>
      <c r="S383" s="2">
        <v>1</v>
      </c>
      <c r="T383" s="2">
        <v>1</v>
      </c>
      <c r="U383" s="2">
        <v>0</v>
      </c>
      <c r="V383" s="2" t="s">
        <v>45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 t="s">
        <v>0</v>
      </c>
      <c r="AD383" s="2">
        <v>1</v>
      </c>
      <c r="AE383" s="2" t="s">
        <v>46</v>
      </c>
    </row>
    <row r="384" spans="1:31" ht="51" x14ac:dyDescent="0.2">
      <c r="A384" s="5" t="str">
        <f>HYPERLINK("http://www.patentics.cn/invokexml.do?sf=ShowPatent&amp;spn=CN102997517&amp;sv=dfcac96d7c4216aa71b2f86fe0e94f6a","CN102997517")</f>
        <v>CN102997517</v>
      </c>
      <c r="B384" s="3" t="s">
        <v>2007</v>
      </c>
      <c r="C384" s="3" t="s">
        <v>2008</v>
      </c>
      <c r="D384" s="3" t="s">
        <v>49</v>
      </c>
      <c r="E384" s="3" t="s">
        <v>50</v>
      </c>
      <c r="F384" s="3" t="s">
        <v>2009</v>
      </c>
      <c r="G384" s="3" t="s">
        <v>52</v>
      </c>
      <c r="H384" s="3" t="s">
        <v>0</v>
      </c>
      <c r="I384" s="3" t="s">
        <v>2010</v>
      </c>
      <c r="J384" s="3" t="s">
        <v>273</v>
      </c>
      <c r="K384" s="3" t="s">
        <v>347</v>
      </c>
      <c r="L384" s="3" t="s">
        <v>2011</v>
      </c>
      <c r="M384" s="3">
        <v>10</v>
      </c>
      <c r="N384" s="3">
        <v>8</v>
      </c>
      <c r="O384" s="3" t="s">
        <v>75</v>
      </c>
      <c r="P384" s="3" t="s">
        <v>44</v>
      </c>
      <c r="Q384" s="3">
        <v>0</v>
      </c>
      <c r="R384" s="3">
        <v>0</v>
      </c>
      <c r="S384" s="3">
        <v>0</v>
      </c>
      <c r="T384" s="3">
        <v>0</v>
      </c>
      <c r="U384" s="3">
        <v>1</v>
      </c>
      <c r="V384" s="3" t="s">
        <v>553</v>
      </c>
      <c r="W384" s="3">
        <v>0</v>
      </c>
      <c r="X384" s="3">
        <v>1</v>
      </c>
      <c r="Y384" s="3">
        <v>1</v>
      </c>
      <c r="Z384" s="3">
        <v>1</v>
      </c>
      <c r="AA384" s="3">
        <v>0</v>
      </c>
      <c r="AB384" s="3">
        <v>0</v>
      </c>
      <c r="AC384" s="3">
        <v>12</v>
      </c>
      <c r="AD384" s="3" t="s">
        <v>0</v>
      </c>
      <c r="AE384" s="3" t="s">
        <v>46</v>
      </c>
    </row>
    <row r="385" spans="1:31" ht="38.25" x14ac:dyDescent="0.2">
      <c r="A385" s="4" t="str">
        <f>HYPERLINK("http://www.patentics.cn/invokexml.do?sf=ShowPatent&amp;spn=CN105355425&amp;sv=ec8cd68fc79587ba9d97a4d062033d71","CN105355425")</f>
        <v>CN105355425</v>
      </c>
      <c r="B385" s="2" t="s">
        <v>2012</v>
      </c>
      <c r="C385" s="2" t="s">
        <v>1978</v>
      </c>
      <c r="D385" s="2" t="s">
        <v>623</v>
      </c>
      <c r="E385" s="2" t="s">
        <v>624</v>
      </c>
      <c r="F385" s="2" t="s">
        <v>648</v>
      </c>
      <c r="G385" s="2" t="s">
        <v>648</v>
      </c>
      <c r="H385" s="2" t="s">
        <v>0</v>
      </c>
      <c r="I385" s="2" t="s">
        <v>1979</v>
      </c>
      <c r="J385" s="2" t="s">
        <v>1219</v>
      </c>
      <c r="K385" s="2" t="s">
        <v>1980</v>
      </c>
      <c r="L385" s="2" t="s">
        <v>1981</v>
      </c>
      <c r="M385" s="2">
        <v>10</v>
      </c>
      <c r="N385" s="2">
        <v>21</v>
      </c>
      <c r="O385" s="2" t="s">
        <v>75</v>
      </c>
      <c r="P385" s="2" t="s">
        <v>44</v>
      </c>
      <c r="Q385" s="2">
        <v>1</v>
      </c>
      <c r="R385" s="2">
        <v>0</v>
      </c>
      <c r="S385" s="2">
        <v>1</v>
      </c>
      <c r="T385" s="2">
        <v>1</v>
      </c>
      <c r="U385" s="2">
        <v>0</v>
      </c>
      <c r="V385" s="2" t="s">
        <v>45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 t="s">
        <v>0</v>
      </c>
      <c r="AD385" s="2">
        <v>1</v>
      </c>
      <c r="AE385" s="2" t="s">
        <v>1852</v>
      </c>
    </row>
    <row r="386" spans="1:31" ht="51" x14ac:dyDescent="0.2">
      <c r="A386" s="5" t="str">
        <f>HYPERLINK("http://www.patentics.cn/invokexml.do?sf=ShowPatent&amp;spn=CN203242500&amp;sv=3e63177a0dbc215c18ea4fa229a9aa0f","CN203242500")</f>
        <v>CN203242500</v>
      </c>
      <c r="B386" s="3" t="s">
        <v>1982</v>
      </c>
      <c r="C386" s="3" t="s">
        <v>1983</v>
      </c>
      <c r="D386" s="3" t="s">
        <v>49</v>
      </c>
      <c r="E386" s="3" t="s">
        <v>50</v>
      </c>
      <c r="F386" s="3" t="s">
        <v>1984</v>
      </c>
      <c r="G386" s="3" t="s">
        <v>1985</v>
      </c>
      <c r="H386" s="3" t="s">
        <v>0</v>
      </c>
      <c r="I386" s="3" t="s">
        <v>1986</v>
      </c>
      <c r="J386" s="3" t="s">
        <v>1987</v>
      </c>
      <c r="K386" s="3" t="s">
        <v>1980</v>
      </c>
      <c r="L386" s="3" t="s">
        <v>1981</v>
      </c>
      <c r="M386" s="3">
        <v>10</v>
      </c>
      <c r="N386" s="3">
        <v>9</v>
      </c>
      <c r="O386" s="3" t="s">
        <v>55</v>
      </c>
      <c r="P386" s="3" t="s">
        <v>44</v>
      </c>
      <c r="Q386" s="3">
        <v>0</v>
      </c>
      <c r="R386" s="3">
        <v>0</v>
      </c>
      <c r="S386" s="3">
        <v>0</v>
      </c>
      <c r="T386" s="3">
        <v>0</v>
      </c>
      <c r="U386" s="3">
        <v>2</v>
      </c>
      <c r="V386" s="3" t="s">
        <v>797</v>
      </c>
      <c r="W386" s="3">
        <v>0</v>
      </c>
      <c r="X386" s="3">
        <v>2</v>
      </c>
      <c r="Y386" s="3">
        <v>1</v>
      </c>
      <c r="Z386" s="3">
        <v>1</v>
      </c>
      <c r="AA386" s="3">
        <v>0</v>
      </c>
      <c r="AB386" s="3">
        <v>0</v>
      </c>
      <c r="AC386" s="3">
        <v>12</v>
      </c>
      <c r="AD386" s="3" t="s">
        <v>0</v>
      </c>
      <c r="AE386" s="3" t="s">
        <v>46</v>
      </c>
    </row>
    <row r="387" spans="1:31" ht="38.25" x14ac:dyDescent="0.2">
      <c r="A387" s="4" t="str">
        <f>HYPERLINK("http://www.patentics.cn/invokexml.do?sf=ShowPatent&amp;spn=CN205014482&amp;sv=bf39c6cfb613ccbeb0674e41b0a667df","CN205014482")</f>
        <v>CN205014482</v>
      </c>
      <c r="B387" s="2" t="s">
        <v>2013</v>
      </c>
      <c r="C387" s="2" t="s">
        <v>2014</v>
      </c>
      <c r="D387" s="2" t="s">
        <v>925</v>
      </c>
      <c r="E387" s="2" t="s">
        <v>624</v>
      </c>
      <c r="F387" s="2" t="s">
        <v>1307</v>
      </c>
      <c r="G387" s="2" t="s">
        <v>1307</v>
      </c>
      <c r="H387" s="2" t="s">
        <v>0</v>
      </c>
      <c r="I387" s="2" t="s">
        <v>2015</v>
      </c>
      <c r="J387" s="2" t="s">
        <v>1267</v>
      </c>
      <c r="K387" s="2" t="s">
        <v>41</v>
      </c>
      <c r="L387" s="2" t="s">
        <v>42</v>
      </c>
      <c r="M387" s="2">
        <v>10</v>
      </c>
      <c r="N387" s="2">
        <v>22</v>
      </c>
      <c r="O387" s="2" t="s">
        <v>55</v>
      </c>
      <c r="P387" s="2" t="s">
        <v>44</v>
      </c>
      <c r="Q387" s="2">
        <v>2</v>
      </c>
      <c r="R387" s="2">
        <v>0</v>
      </c>
      <c r="S387" s="2">
        <v>2</v>
      </c>
      <c r="T387" s="2">
        <v>2</v>
      </c>
      <c r="U387" s="2">
        <v>0</v>
      </c>
      <c r="V387" s="2" t="s">
        <v>45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 t="s">
        <v>0</v>
      </c>
      <c r="AD387" s="2">
        <v>1</v>
      </c>
      <c r="AE387" s="2" t="s">
        <v>46</v>
      </c>
    </row>
    <row r="388" spans="1:31" ht="38.25" x14ac:dyDescent="0.2">
      <c r="A388" s="5" t="str">
        <f>HYPERLINK("http://www.patentics.cn/invokexml.do?sf=ShowPatent&amp;spn=CN201003831&amp;sv=38dc06a55254ba00f797aefb4af3e38d","CN201003831")</f>
        <v>CN201003831</v>
      </c>
      <c r="B388" s="3" t="s">
        <v>2016</v>
      </c>
      <c r="C388" s="3" t="s">
        <v>2017</v>
      </c>
      <c r="D388" s="3" t="s">
        <v>49</v>
      </c>
      <c r="E388" s="3" t="s">
        <v>50</v>
      </c>
      <c r="F388" s="3" t="s">
        <v>2018</v>
      </c>
      <c r="G388" s="3" t="s">
        <v>88</v>
      </c>
      <c r="H388" s="3" t="s">
        <v>0</v>
      </c>
      <c r="I388" s="3" t="s">
        <v>2019</v>
      </c>
      <c r="J388" s="3" t="s">
        <v>2020</v>
      </c>
      <c r="K388" s="3" t="s">
        <v>41</v>
      </c>
      <c r="L388" s="3" t="s">
        <v>657</v>
      </c>
      <c r="M388" s="3">
        <v>5</v>
      </c>
      <c r="N388" s="3">
        <v>13</v>
      </c>
      <c r="O388" s="3" t="s">
        <v>55</v>
      </c>
      <c r="P388" s="3" t="s">
        <v>44</v>
      </c>
      <c r="Q388" s="3">
        <v>0</v>
      </c>
      <c r="R388" s="3">
        <v>0</v>
      </c>
      <c r="S388" s="3">
        <v>0</v>
      </c>
      <c r="T388" s="3">
        <v>0</v>
      </c>
      <c r="U388" s="3">
        <v>2</v>
      </c>
      <c r="V388" s="3" t="s">
        <v>644</v>
      </c>
      <c r="W388" s="3">
        <v>0</v>
      </c>
      <c r="X388" s="3">
        <v>2</v>
      </c>
      <c r="Y388" s="3">
        <v>2</v>
      </c>
      <c r="Z388" s="3">
        <v>1</v>
      </c>
      <c r="AA388" s="3">
        <v>0</v>
      </c>
      <c r="AB388" s="3">
        <v>0</v>
      </c>
      <c r="AC388" s="3">
        <v>12</v>
      </c>
      <c r="AD388" s="3" t="s">
        <v>0</v>
      </c>
      <c r="AE388" s="3" t="s">
        <v>57</v>
      </c>
    </row>
    <row r="389" spans="1:31" ht="38.25" x14ac:dyDescent="0.2">
      <c r="A389" s="4" t="str">
        <f>HYPERLINK("http://www.patentics.cn/invokexml.do?sf=ShowPatent&amp;spn=CN105276765&amp;sv=11d8b309132f8ae0f71d0d7d08fd7fe1","CN105276765")</f>
        <v>CN105276765</v>
      </c>
      <c r="B389" s="2" t="s">
        <v>2021</v>
      </c>
      <c r="C389" s="2" t="s">
        <v>2022</v>
      </c>
      <c r="D389" s="2" t="s">
        <v>925</v>
      </c>
      <c r="E389" s="2" t="s">
        <v>624</v>
      </c>
      <c r="F389" s="2" t="s">
        <v>2023</v>
      </c>
      <c r="G389" s="2" t="s">
        <v>2023</v>
      </c>
      <c r="H389" s="2" t="s">
        <v>0</v>
      </c>
      <c r="I389" s="2" t="s">
        <v>2024</v>
      </c>
      <c r="J389" s="2" t="s">
        <v>1849</v>
      </c>
      <c r="K389" s="2" t="s">
        <v>41</v>
      </c>
      <c r="L389" s="2" t="s">
        <v>84</v>
      </c>
      <c r="M389" s="2">
        <v>10</v>
      </c>
      <c r="N389" s="2">
        <v>7</v>
      </c>
      <c r="O389" s="2" t="s">
        <v>75</v>
      </c>
      <c r="P389" s="2" t="s">
        <v>44</v>
      </c>
      <c r="Q389" s="2">
        <v>1</v>
      </c>
      <c r="R389" s="2">
        <v>0</v>
      </c>
      <c r="S389" s="2">
        <v>1</v>
      </c>
      <c r="T389" s="2">
        <v>1</v>
      </c>
      <c r="U389" s="2">
        <v>0</v>
      </c>
      <c r="V389" s="2" t="s">
        <v>45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 t="s">
        <v>0</v>
      </c>
      <c r="AD389" s="2">
        <v>1</v>
      </c>
      <c r="AE389" s="2" t="s">
        <v>1852</v>
      </c>
    </row>
    <row r="390" spans="1:31" ht="25.5" x14ac:dyDescent="0.2">
      <c r="A390" s="5" t="str">
        <f>HYPERLINK("http://www.patentics.cn/invokexml.do?sf=ShowPatent&amp;spn=CN102042653&amp;sv=951c257bd4674fa5b86a8da497196c12","CN102042653")</f>
        <v>CN102042653</v>
      </c>
      <c r="B390" s="3" t="s">
        <v>2025</v>
      </c>
      <c r="C390" s="3" t="s">
        <v>2026</v>
      </c>
      <c r="D390" s="3" t="s">
        <v>49</v>
      </c>
      <c r="E390" s="3" t="s">
        <v>50</v>
      </c>
      <c r="F390" s="3" t="s">
        <v>2027</v>
      </c>
      <c r="G390" s="3" t="s">
        <v>133</v>
      </c>
      <c r="H390" s="3" t="s">
        <v>2028</v>
      </c>
      <c r="I390" s="3" t="s">
        <v>2028</v>
      </c>
      <c r="J390" s="3" t="s">
        <v>358</v>
      </c>
      <c r="K390" s="3" t="s">
        <v>41</v>
      </c>
      <c r="L390" s="3" t="s">
        <v>84</v>
      </c>
      <c r="M390" s="3">
        <v>12</v>
      </c>
      <c r="N390" s="3">
        <v>16</v>
      </c>
      <c r="O390" s="3" t="s">
        <v>75</v>
      </c>
      <c r="P390" s="3" t="s">
        <v>44</v>
      </c>
      <c r="Q390" s="3">
        <v>0</v>
      </c>
      <c r="R390" s="3">
        <v>0</v>
      </c>
      <c r="S390" s="3">
        <v>0</v>
      </c>
      <c r="T390" s="3">
        <v>0</v>
      </c>
      <c r="U390" s="3">
        <v>1</v>
      </c>
      <c r="V390" s="3" t="s">
        <v>553</v>
      </c>
      <c r="W390" s="3">
        <v>0</v>
      </c>
      <c r="X390" s="3">
        <v>1</v>
      </c>
      <c r="Y390" s="3">
        <v>1</v>
      </c>
      <c r="Z390" s="3">
        <v>1</v>
      </c>
      <c r="AA390" s="3">
        <v>1</v>
      </c>
      <c r="AB390" s="3">
        <v>1</v>
      </c>
      <c r="AC390" s="3">
        <v>12</v>
      </c>
      <c r="AD390" s="3" t="s">
        <v>0</v>
      </c>
      <c r="AE390" s="3" t="s">
        <v>46</v>
      </c>
    </row>
    <row r="391" spans="1:31" ht="38.25" x14ac:dyDescent="0.2">
      <c r="A391" s="4" t="str">
        <f>HYPERLINK("http://www.patentics.cn/invokexml.do?sf=ShowPatent&amp;spn=CN204880398&amp;sv=11f90a2e839702898fe520528561e1d4","CN204880398")</f>
        <v>CN204880398</v>
      </c>
      <c r="B391" s="2" t="s">
        <v>2029</v>
      </c>
      <c r="C391" s="2" t="s">
        <v>2030</v>
      </c>
      <c r="D391" s="2" t="s">
        <v>925</v>
      </c>
      <c r="E391" s="2" t="s">
        <v>624</v>
      </c>
      <c r="F391" s="2" t="s">
        <v>2031</v>
      </c>
      <c r="G391" s="2" t="s">
        <v>2032</v>
      </c>
      <c r="H391" s="2" t="s">
        <v>0</v>
      </c>
      <c r="I391" s="2" t="s">
        <v>2015</v>
      </c>
      <c r="J391" s="2" t="s">
        <v>2033</v>
      </c>
      <c r="K391" s="2" t="s">
        <v>41</v>
      </c>
      <c r="L391" s="2" t="s">
        <v>42</v>
      </c>
      <c r="M391" s="2">
        <v>10</v>
      </c>
      <c r="N391" s="2">
        <v>15</v>
      </c>
      <c r="O391" s="2" t="s">
        <v>55</v>
      </c>
      <c r="P391" s="2" t="s">
        <v>44</v>
      </c>
      <c r="Q391" s="2">
        <v>2</v>
      </c>
      <c r="R391" s="2">
        <v>0</v>
      </c>
      <c r="S391" s="2">
        <v>2</v>
      </c>
      <c r="T391" s="2">
        <v>2</v>
      </c>
      <c r="U391" s="2">
        <v>0</v>
      </c>
      <c r="V391" s="2" t="s">
        <v>45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 t="s">
        <v>0</v>
      </c>
      <c r="AD391" s="2">
        <v>1</v>
      </c>
      <c r="AE391" s="2" t="s">
        <v>46</v>
      </c>
    </row>
    <row r="392" spans="1:31" ht="25.5" x14ac:dyDescent="0.2">
      <c r="A392" s="5" t="str">
        <f>HYPERLINK("http://www.patentics.cn/invokexml.do?sf=ShowPatent&amp;spn=CN103075762&amp;sv=26cd603ddc7bb51adc05cf88a2cab06f","CN103075762")</f>
        <v>CN103075762</v>
      </c>
      <c r="B392" s="3" t="s">
        <v>2034</v>
      </c>
      <c r="C392" s="3" t="s">
        <v>2035</v>
      </c>
      <c r="D392" s="3" t="s">
        <v>49</v>
      </c>
      <c r="E392" s="3" t="s">
        <v>50</v>
      </c>
      <c r="F392" s="3" t="s">
        <v>2036</v>
      </c>
      <c r="G392" s="3" t="s">
        <v>2037</v>
      </c>
      <c r="H392" s="3" t="s">
        <v>0</v>
      </c>
      <c r="I392" s="3" t="s">
        <v>2038</v>
      </c>
      <c r="J392" s="3" t="s">
        <v>2039</v>
      </c>
      <c r="K392" s="3" t="s">
        <v>41</v>
      </c>
      <c r="L392" s="3" t="s">
        <v>42</v>
      </c>
      <c r="M392" s="3">
        <v>10</v>
      </c>
      <c r="N392" s="3">
        <v>8</v>
      </c>
      <c r="O392" s="3" t="s">
        <v>75</v>
      </c>
      <c r="P392" s="3" t="s">
        <v>44</v>
      </c>
      <c r="Q392" s="3">
        <v>0</v>
      </c>
      <c r="R392" s="3">
        <v>0</v>
      </c>
      <c r="S392" s="3">
        <v>0</v>
      </c>
      <c r="T392" s="3">
        <v>0</v>
      </c>
      <c r="U392" s="3">
        <v>2</v>
      </c>
      <c r="V392" s="3" t="s">
        <v>553</v>
      </c>
      <c r="W392" s="3">
        <v>0</v>
      </c>
      <c r="X392" s="3">
        <v>2</v>
      </c>
      <c r="Y392" s="3">
        <v>1</v>
      </c>
      <c r="Z392" s="3">
        <v>1</v>
      </c>
      <c r="AA392" s="3">
        <v>0</v>
      </c>
      <c r="AB392" s="3">
        <v>0</v>
      </c>
      <c r="AC392" s="3">
        <v>12</v>
      </c>
      <c r="AD392" s="3" t="s">
        <v>0</v>
      </c>
      <c r="AE392" s="3" t="s">
        <v>46</v>
      </c>
    </row>
    <row r="393" spans="1:31" ht="38.25" x14ac:dyDescent="0.2">
      <c r="A393" s="4" t="str">
        <f>HYPERLINK("http://www.patentics.cn/invokexml.do?sf=ShowPatent&amp;spn=CN204880444&amp;sv=78a2906d3af297f4ee406d1bb2bb8fe3","CN204880444")</f>
        <v>CN204880444</v>
      </c>
      <c r="B393" s="2" t="s">
        <v>2040</v>
      </c>
      <c r="C393" s="2" t="s">
        <v>2041</v>
      </c>
      <c r="D393" s="2" t="s">
        <v>623</v>
      </c>
      <c r="E393" s="2" t="s">
        <v>624</v>
      </c>
      <c r="F393" s="2" t="s">
        <v>2042</v>
      </c>
      <c r="G393" s="2" t="s">
        <v>2043</v>
      </c>
      <c r="H393" s="2" t="s">
        <v>0</v>
      </c>
      <c r="I393" s="2" t="s">
        <v>2044</v>
      </c>
      <c r="J393" s="2" t="s">
        <v>2033</v>
      </c>
      <c r="K393" s="2" t="s">
        <v>41</v>
      </c>
      <c r="L393" s="2" t="s">
        <v>1992</v>
      </c>
      <c r="M393" s="2">
        <v>10</v>
      </c>
      <c r="N393" s="2">
        <v>13</v>
      </c>
      <c r="O393" s="2" t="s">
        <v>55</v>
      </c>
      <c r="P393" s="2" t="s">
        <v>44</v>
      </c>
      <c r="Q393" s="2">
        <v>1</v>
      </c>
      <c r="R393" s="2">
        <v>0</v>
      </c>
      <c r="S393" s="2">
        <v>1</v>
      </c>
      <c r="T393" s="2">
        <v>1</v>
      </c>
      <c r="U393" s="2">
        <v>0</v>
      </c>
      <c r="V393" s="2" t="s">
        <v>45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 t="s">
        <v>0</v>
      </c>
      <c r="AD393" s="2">
        <v>1</v>
      </c>
      <c r="AE393" s="2" t="s">
        <v>46</v>
      </c>
    </row>
    <row r="394" spans="1:31" ht="63.75" x14ac:dyDescent="0.2">
      <c r="A394" s="5" t="str">
        <f>HYPERLINK("http://www.patentics.cn/invokexml.do?sf=ShowPatent&amp;spn=CN103542502&amp;sv=45bee6447953f6b08b5d1f5e61b39d0d","CN103542502")</f>
        <v>CN103542502</v>
      </c>
      <c r="B394" s="3" t="s">
        <v>2045</v>
      </c>
      <c r="C394" s="3" t="s">
        <v>2046</v>
      </c>
      <c r="D394" s="3" t="s">
        <v>49</v>
      </c>
      <c r="E394" s="3" t="s">
        <v>50</v>
      </c>
      <c r="F394" s="3" t="s">
        <v>2047</v>
      </c>
      <c r="G394" s="3" t="s">
        <v>52</v>
      </c>
      <c r="H394" s="3" t="s">
        <v>0</v>
      </c>
      <c r="I394" s="3" t="s">
        <v>82</v>
      </c>
      <c r="J394" s="3" t="s">
        <v>2048</v>
      </c>
      <c r="K394" s="3" t="s">
        <v>41</v>
      </c>
      <c r="L394" s="3" t="s">
        <v>671</v>
      </c>
      <c r="M394" s="3">
        <v>8</v>
      </c>
      <c r="N394" s="3">
        <v>9</v>
      </c>
      <c r="O394" s="3" t="s">
        <v>75</v>
      </c>
      <c r="P394" s="3" t="s">
        <v>44</v>
      </c>
      <c r="Q394" s="3">
        <v>0</v>
      </c>
      <c r="R394" s="3">
        <v>0</v>
      </c>
      <c r="S394" s="3">
        <v>0</v>
      </c>
      <c r="T394" s="3">
        <v>0</v>
      </c>
      <c r="U394" s="3">
        <v>1</v>
      </c>
      <c r="V394" s="3" t="s">
        <v>553</v>
      </c>
      <c r="W394" s="3">
        <v>0</v>
      </c>
      <c r="X394" s="3">
        <v>1</v>
      </c>
      <c r="Y394" s="3">
        <v>1</v>
      </c>
      <c r="Z394" s="3">
        <v>1</v>
      </c>
      <c r="AA394" s="3">
        <v>0</v>
      </c>
      <c r="AB394" s="3">
        <v>0</v>
      </c>
      <c r="AC394" s="3">
        <v>12</v>
      </c>
      <c r="AD394" s="3" t="s">
        <v>0</v>
      </c>
      <c r="AE394" s="3" t="s">
        <v>46</v>
      </c>
    </row>
    <row r="395" spans="1:31" ht="38.25" x14ac:dyDescent="0.2">
      <c r="A395" s="4" t="str">
        <f>HYPERLINK("http://www.patentics.cn/invokexml.do?sf=ShowPatent&amp;spn=CN105135521&amp;sv=046138a5d8edccd4fce5f3509e79813d","CN105135521")</f>
        <v>CN105135521</v>
      </c>
      <c r="B395" s="2" t="s">
        <v>2049</v>
      </c>
      <c r="C395" s="2" t="s">
        <v>2030</v>
      </c>
      <c r="D395" s="2" t="s">
        <v>925</v>
      </c>
      <c r="E395" s="2" t="s">
        <v>624</v>
      </c>
      <c r="F395" s="2" t="s">
        <v>2031</v>
      </c>
      <c r="G395" s="2" t="s">
        <v>2032</v>
      </c>
      <c r="H395" s="2" t="s">
        <v>0</v>
      </c>
      <c r="I395" s="2" t="s">
        <v>2015</v>
      </c>
      <c r="J395" s="2" t="s">
        <v>1369</v>
      </c>
      <c r="K395" s="2" t="s">
        <v>41</v>
      </c>
      <c r="L395" s="2" t="s">
        <v>42</v>
      </c>
      <c r="M395" s="2">
        <v>10</v>
      </c>
      <c r="N395" s="2">
        <v>15</v>
      </c>
      <c r="O395" s="2" t="s">
        <v>75</v>
      </c>
      <c r="P395" s="2" t="s">
        <v>44</v>
      </c>
      <c r="Q395" s="2">
        <v>2</v>
      </c>
      <c r="R395" s="2">
        <v>0</v>
      </c>
      <c r="S395" s="2">
        <v>2</v>
      </c>
      <c r="T395" s="2">
        <v>2</v>
      </c>
      <c r="U395" s="2">
        <v>0</v>
      </c>
      <c r="V395" s="2" t="s">
        <v>45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 t="s">
        <v>0</v>
      </c>
      <c r="AD395" s="2">
        <v>1</v>
      </c>
      <c r="AE395" s="2" t="s">
        <v>1852</v>
      </c>
    </row>
    <row r="396" spans="1:31" ht="25.5" x14ac:dyDescent="0.2">
      <c r="A396" s="5" t="str">
        <f>HYPERLINK("http://www.patentics.cn/invokexml.do?sf=ShowPatent&amp;spn=CN103075762&amp;sv=26cd603ddc7bb51adc05cf88a2cab06f","CN103075762")</f>
        <v>CN103075762</v>
      </c>
      <c r="B396" s="3" t="s">
        <v>2034</v>
      </c>
      <c r="C396" s="3" t="s">
        <v>2035</v>
      </c>
      <c r="D396" s="3" t="s">
        <v>49</v>
      </c>
      <c r="E396" s="3" t="s">
        <v>50</v>
      </c>
      <c r="F396" s="3" t="s">
        <v>2036</v>
      </c>
      <c r="G396" s="3" t="s">
        <v>2037</v>
      </c>
      <c r="H396" s="3" t="s">
        <v>0</v>
      </c>
      <c r="I396" s="3" t="s">
        <v>2038</v>
      </c>
      <c r="J396" s="3" t="s">
        <v>2039</v>
      </c>
      <c r="K396" s="3" t="s">
        <v>41</v>
      </c>
      <c r="L396" s="3" t="s">
        <v>42</v>
      </c>
      <c r="M396" s="3">
        <v>10</v>
      </c>
      <c r="N396" s="3">
        <v>8</v>
      </c>
      <c r="O396" s="3" t="s">
        <v>75</v>
      </c>
      <c r="P396" s="3" t="s">
        <v>44</v>
      </c>
      <c r="Q396" s="3">
        <v>0</v>
      </c>
      <c r="R396" s="3">
        <v>0</v>
      </c>
      <c r="S396" s="3">
        <v>0</v>
      </c>
      <c r="T396" s="3">
        <v>0</v>
      </c>
      <c r="U396" s="3">
        <v>2</v>
      </c>
      <c r="V396" s="3" t="s">
        <v>553</v>
      </c>
      <c r="W396" s="3">
        <v>0</v>
      </c>
      <c r="X396" s="3">
        <v>2</v>
      </c>
      <c r="Y396" s="3">
        <v>1</v>
      </c>
      <c r="Z396" s="3">
        <v>1</v>
      </c>
      <c r="AA396" s="3">
        <v>0</v>
      </c>
      <c r="AB396" s="3">
        <v>0</v>
      </c>
      <c r="AC396" s="3">
        <v>12</v>
      </c>
      <c r="AD396" s="3" t="s">
        <v>0</v>
      </c>
      <c r="AE396" s="3" t="s">
        <v>46</v>
      </c>
    </row>
    <row r="397" spans="1:31" ht="63.75" x14ac:dyDescent="0.2">
      <c r="A397" s="4" t="str">
        <f>HYPERLINK("http://www.patentics.cn/invokexml.do?sf=ShowPatent&amp;spn=CN204678651&amp;sv=42dbf6e6b7065ded5cd97d4dbf529dfb","CN204678651")</f>
        <v>CN204678651</v>
      </c>
      <c r="B397" s="2" t="s">
        <v>2050</v>
      </c>
      <c r="C397" s="2" t="s">
        <v>2051</v>
      </c>
      <c r="D397" s="2" t="s">
        <v>925</v>
      </c>
      <c r="E397" s="2" t="s">
        <v>624</v>
      </c>
      <c r="F397" s="2" t="s">
        <v>2052</v>
      </c>
      <c r="G397" s="2" t="s">
        <v>654</v>
      </c>
      <c r="H397" s="2" t="s">
        <v>0</v>
      </c>
      <c r="I397" s="2" t="s">
        <v>2053</v>
      </c>
      <c r="J397" s="2" t="s">
        <v>1462</v>
      </c>
      <c r="K397" s="2" t="s">
        <v>41</v>
      </c>
      <c r="L397" s="2" t="s">
        <v>453</v>
      </c>
      <c r="M397" s="2">
        <v>10</v>
      </c>
      <c r="N397" s="2">
        <v>11</v>
      </c>
      <c r="O397" s="2" t="s">
        <v>55</v>
      </c>
      <c r="P397" s="2" t="s">
        <v>44</v>
      </c>
      <c r="Q397" s="2">
        <v>1</v>
      </c>
      <c r="R397" s="2">
        <v>0</v>
      </c>
      <c r="S397" s="2">
        <v>1</v>
      </c>
      <c r="T397" s="2">
        <v>1</v>
      </c>
      <c r="U397" s="2">
        <v>0</v>
      </c>
      <c r="V397" s="2" t="s">
        <v>45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 t="s">
        <v>0</v>
      </c>
      <c r="AD397" s="2">
        <v>1</v>
      </c>
      <c r="AE397" s="2" t="s">
        <v>46</v>
      </c>
    </row>
    <row r="398" spans="1:31" ht="76.5" x14ac:dyDescent="0.2">
      <c r="A398" s="5" t="str">
        <f>HYPERLINK("http://www.patentics.cn/invokexml.do?sf=ShowPatent&amp;spn=CN101344282&amp;sv=3c750291d3458233e14de9f1b9e7760c","CN101344282")</f>
        <v>CN101344282</v>
      </c>
      <c r="B398" s="3" t="s">
        <v>2054</v>
      </c>
      <c r="C398" s="3" t="s">
        <v>258</v>
      </c>
      <c r="D398" s="3" t="s">
        <v>49</v>
      </c>
      <c r="E398" s="3" t="s">
        <v>50</v>
      </c>
      <c r="F398" s="3" t="s">
        <v>263</v>
      </c>
      <c r="G398" s="3" t="s">
        <v>264</v>
      </c>
      <c r="H398" s="3" t="s">
        <v>2055</v>
      </c>
      <c r="I398" s="3" t="s">
        <v>2055</v>
      </c>
      <c r="J398" s="3" t="s">
        <v>1302</v>
      </c>
      <c r="K398" s="3" t="s">
        <v>41</v>
      </c>
      <c r="L398" s="3" t="s">
        <v>42</v>
      </c>
      <c r="M398" s="3">
        <v>8</v>
      </c>
      <c r="N398" s="3">
        <v>35</v>
      </c>
      <c r="O398" s="3" t="s">
        <v>75</v>
      </c>
      <c r="P398" s="3" t="s">
        <v>44</v>
      </c>
      <c r="Q398" s="3">
        <v>1</v>
      </c>
      <c r="R398" s="3">
        <v>0</v>
      </c>
      <c r="S398" s="3">
        <v>1</v>
      </c>
      <c r="T398" s="3">
        <v>1</v>
      </c>
      <c r="U398" s="3">
        <v>3</v>
      </c>
      <c r="V398" s="3" t="s">
        <v>698</v>
      </c>
      <c r="W398" s="3">
        <v>0</v>
      </c>
      <c r="X398" s="3">
        <v>3</v>
      </c>
      <c r="Y398" s="3">
        <v>1</v>
      </c>
      <c r="Z398" s="3">
        <v>1</v>
      </c>
      <c r="AA398" s="3">
        <v>1</v>
      </c>
      <c r="AB398" s="3">
        <v>1</v>
      </c>
      <c r="AC398" s="3">
        <v>12</v>
      </c>
      <c r="AD398" s="3" t="s">
        <v>0</v>
      </c>
      <c r="AE398" s="3" t="s">
        <v>46</v>
      </c>
    </row>
    <row r="399" spans="1:31" ht="38.25" x14ac:dyDescent="0.2">
      <c r="A399" s="4" t="str">
        <f>HYPERLINK("http://www.patentics.cn/invokexml.do?sf=ShowPatent&amp;spn=CN204665770&amp;sv=871f03d3b98f5943f0d0d9bff1e175ac","CN204665770")</f>
        <v>CN204665770</v>
      </c>
      <c r="B399" s="2" t="s">
        <v>2056</v>
      </c>
      <c r="C399" s="2" t="s">
        <v>2057</v>
      </c>
      <c r="D399" s="2" t="s">
        <v>925</v>
      </c>
      <c r="E399" s="2" t="s">
        <v>624</v>
      </c>
      <c r="F399" s="2" t="s">
        <v>2058</v>
      </c>
      <c r="G399" s="2" t="s">
        <v>2059</v>
      </c>
      <c r="H399" s="2" t="s">
        <v>0</v>
      </c>
      <c r="I399" s="2" t="s">
        <v>2060</v>
      </c>
      <c r="J399" s="2" t="s">
        <v>2061</v>
      </c>
      <c r="K399" s="2" t="s">
        <v>347</v>
      </c>
      <c r="L399" s="2" t="s">
        <v>1507</v>
      </c>
      <c r="M399" s="2">
        <v>10</v>
      </c>
      <c r="N399" s="2">
        <v>18</v>
      </c>
      <c r="O399" s="2" t="s">
        <v>55</v>
      </c>
      <c r="P399" s="2" t="s">
        <v>44</v>
      </c>
      <c r="Q399" s="2">
        <v>1</v>
      </c>
      <c r="R399" s="2">
        <v>0</v>
      </c>
      <c r="S399" s="2">
        <v>1</v>
      </c>
      <c r="T399" s="2">
        <v>1</v>
      </c>
      <c r="U399" s="2">
        <v>0</v>
      </c>
      <c r="V399" s="2" t="s">
        <v>45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 t="s">
        <v>0</v>
      </c>
      <c r="AD399" s="2">
        <v>1</v>
      </c>
      <c r="AE399" s="2" t="s">
        <v>46</v>
      </c>
    </row>
    <row r="400" spans="1:31" ht="38.25" x14ac:dyDescent="0.2">
      <c r="A400" s="5" t="str">
        <f>HYPERLINK("http://www.patentics.cn/invokexml.do?sf=ShowPatent&amp;spn=CN102878663&amp;sv=6d809acb63e45fb376171b0d800138db","CN102878663")</f>
        <v>CN102878663</v>
      </c>
      <c r="B400" s="3" t="s">
        <v>2062</v>
      </c>
      <c r="C400" s="3" t="s">
        <v>2063</v>
      </c>
      <c r="D400" s="3" t="s">
        <v>49</v>
      </c>
      <c r="E400" s="3" t="s">
        <v>50</v>
      </c>
      <c r="F400" s="3" t="s">
        <v>2064</v>
      </c>
      <c r="G400" s="3" t="s">
        <v>2065</v>
      </c>
      <c r="H400" s="3" t="s">
        <v>922</v>
      </c>
      <c r="I400" s="3" t="s">
        <v>922</v>
      </c>
      <c r="J400" s="3" t="s">
        <v>670</v>
      </c>
      <c r="K400" s="3" t="s">
        <v>41</v>
      </c>
      <c r="L400" s="3" t="s">
        <v>1969</v>
      </c>
      <c r="M400" s="3">
        <v>9</v>
      </c>
      <c r="N400" s="3">
        <v>25</v>
      </c>
      <c r="O400" s="3" t="s">
        <v>75</v>
      </c>
      <c r="P400" s="3" t="s">
        <v>44</v>
      </c>
      <c r="Q400" s="3">
        <v>0</v>
      </c>
      <c r="R400" s="3">
        <v>0</v>
      </c>
      <c r="S400" s="3">
        <v>0</v>
      </c>
      <c r="T400" s="3">
        <v>0</v>
      </c>
      <c r="U400" s="3">
        <v>2</v>
      </c>
      <c r="V400" s="3" t="s">
        <v>797</v>
      </c>
      <c r="W400" s="3">
        <v>0</v>
      </c>
      <c r="X400" s="3">
        <v>2</v>
      </c>
      <c r="Y400" s="3">
        <v>1</v>
      </c>
      <c r="Z400" s="3">
        <v>1</v>
      </c>
      <c r="AA400" s="3">
        <v>1</v>
      </c>
      <c r="AB400" s="3">
        <v>1</v>
      </c>
      <c r="AC400" s="3">
        <v>12</v>
      </c>
      <c r="AD400" s="3" t="s">
        <v>0</v>
      </c>
      <c r="AE400" s="3" t="s">
        <v>46</v>
      </c>
    </row>
    <row r="401" spans="1:31" ht="63.75" x14ac:dyDescent="0.2">
      <c r="A401" s="4" t="str">
        <f>HYPERLINK("http://www.patentics.cn/invokexml.do?sf=ShowPatent&amp;spn=CN104879973&amp;sv=b4b545c51d992ab67e382c3d49053584","CN104879973")</f>
        <v>CN104879973</v>
      </c>
      <c r="B401" s="2" t="s">
        <v>2066</v>
      </c>
      <c r="C401" s="2" t="s">
        <v>2067</v>
      </c>
      <c r="D401" s="2" t="s">
        <v>925</v>
      </c>
      <c r="E401" s="2" t="s">
        <v>624</v>
      </c>
      <c r="F401" s="2" t="s">
        <v>2068</v>
      </c>
      <c r="G401" s="2" t="s">
        <v>2059</v>
      </c>
      <c r="H401" s="2" t="s">
        <v>0</v>
      </c>
      <c r="I401" s="2" t="s">
        <v>2060</v>
      </c>
      <c r="J401" s="2" t="s">
        <v>2069</v>
      </c>
      <c r="K401" s="2" t="s">
        <v>347</v>
      </c>
      <c r="L401" s="2" t="s">
        <v>741</v>
      </c>
      <c r="M401" s="2">
        <v>10</v>
      </c>
      <c r="N401" s="2">
        <v>26</v>
      </c>
      <c r="O401" s="2" t="s">
        <v>75</v>
      </c>
      <c r="P401" s="2" t="s">
        <v>44</v>
      </c>
      <c r="Q401" s="2">
        <v>1</v>
      </c>
      <c r="R401" s="2">
        <v>0</v>
      </c>
      <c r="S401" s="2">
        <v>1</v>
      </c>
      <c r="T401" s="2">
        <v>1</v>
      </c>
      <c r="U401" s="2">
        <v>0</v>
      </c>
      <c r="V401" s="2" t="s">
        <v>45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 t="s">
        <v>0</v>
      </c>
      <c r="AD401" s="2">
        <v>1</v>
      </c>
      <c r="AE401" s="2" t="s">
        <v>1852</v>
      </c>
    </row>
    <row r="402" spans="1:31" ht="38.25" x14ac:dyDescent="0.2">
      <c r="A402" s="5" t="str">
        <f>HYPERLINK("http://www.patentics.cn/invokexml.do?sf=ShowPatent&amp;spn=CN102878663&amp;sv=6d809acb63e45fb376171b0d800138db","CN102878663")</f>
        <v>CN102878663</v>
      </c>
      <c r="B402" s="3" t="s">
        <v>2062</v>
      </c>
      <c r="C402" s="3" t="s">
        <v>2063</v>
      </c>
      <c r="D402" s="3" t="s">
        <v>49</v>
      </c>
      <c r="E402" s="3" t="s">
        <v>50</v>
      </c>
      <c r="F402" s="3" t="s">
        <v>2064</v>
      </c>
      <c r="G402" s="3" t="s">
        <v>2065</v>
      </c>
      <c r="H402" s="3" t="s">
        <v>922</v>
      </c>
      <c r="I402" s="3" t="s">
        <v>922</v>
      </c>
      <c r="J402" s="3" t="s">
        <v>670</v>
      </c>
      <c r="K402" s="3" t="s">
        <v>41</v>
      </c>
      <c r="L402" s="3" t="s">
        <v>1969</v>
      </c>
      <c r="M402" s="3">
        <v>9</v>
      </c>
      <c r="N402" s="3">
        <v>25</v>
      </c>
      <c r="O402" s="3" t="s">
        <v>75</v>
      </c>
      <c r="P402" s="3" t="s">
        <v>44</v>
      </c>
      <c r="Q402" s="3">
        <v>0</v>
      </c>
      <c r="R402" s="3">
        <v>0</v>
      </c>
      <c r="S402" s="3">
        <v>0</v>
      </c>
      <c r="T402" s="3">
        <v>0</v>
      </c>
      <c r="U402" s="3">
        <v>2</v>
      </c>
      <c r="V402" s="3" t="s">
        <v>797</v>
      </c>
      <c r="W402" s="3">
        <v>0</v>
      </c>
      <c r="X402" s="3">
        <v>2</v>
      </c>
      <c r="Y402" s="3">
        <v>1</v>
      </c>
      <c r="Z402" s="3">
        <v>1</v>
      </c>
      <c r="AA402" s="3">
        <v>1</v>
      </c>
      <c r="AB402" s="3">
        <v>1</v>
      </c>
      <c r="AC402" s="3">
        <v>12</v>
      </c>
      <c r="AD402" s="3" t="s">
        <v>0</v>
      </c>
      <c r="AE402" s="3" t="s">
        <v>46</v>
      </c>
    </row>
    <row r="403" spans="1:31" ht="51" x14ac:dyDescent="0.2">
      <c r="A403" s="4" t="str">
        <f>HYPERLINK("http://www.patentics.cn/invokexml.do?sf=ShowPatent&amp;spn=CN204593944&amp;sv=2701cbe3e13dfe99e7a9de9a0dcbf857","CN204593944")</f>
        <v>CN204593944</v>
      </c>
      <c r="B403" s="2" t="s">
        <v>2070</v>
      </c>
      <c r="C403" s="2" t="s">
        <v>2071</v>
      </c>
      <c r="D403" s="2" t="s">
        <v>623</v>
      </c>
      <c r="E403" s="2" t="s">
        <v>624</v>
      </c>
      <c r="F403" s="2" t="s">
        <v>2072</v>
      </c>
      <c r="G403" s="2" t="s">
        <v>2073</v>
      </c>
      <c r="H403" s="2" t="s">
        <v>0</v>
      </c>
      <c r="I403" s="2" t="s">
        <v>2074</v>
      </c>
      <c r="J403" s="2" t="s">
        <v>650</v>
      </c>
      <c r="K403" s="2" t="s">
        <v>347</v>
      </c>
      <c r="L403" s="2" t="s">
        <v>1795</v>
      </c>
      <c r="M403" s="2">
        <v>7</v>
      </c>
      <c r="N403" s="2">
        <v>27</v>
      </c>
      <c r="O403" s="2" t="s">
        <v>55</v>
      </c>
      <c r="P403" s="2" t="s">
        <v>44</v>
      </c>
      <c r="Q403" s="2">
        <v>1</v>
      </c>
      <c r="R403" s="2">
        <v>0</v>
      </c>
      <c r="S403" s="2">
        <v>1</v>
      </c>
      <c r="T403" s="2">
        <v>1</v>
      </c>
      <c r="U403" s="2">
        <v>0</v>
      </c>
      <c r="V403" s="2" t="s">
        <v>45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 t="s">
        <v>0</v>
      </c>
      <c r="AD403" s="2">
        <v>1</v>
      </c>
      <c r="AE403" s="2" t="s">
        <v>46</v>
      </c>
    </row>
    <row r="404" spans="1:31" ht="51" x14ac:dyDescent="0.2">
      <c r="A404" s="5" t="str">
        <f>HYPERLINK("http://www.patentics.cn/invokexml.do?sf=ShowPatent&amp;spn=CN101886852&amp;sv=c3d67a231891c7e030ca6f0e2b687a97","CN101886852")</f>
        <v>CN101886852</v>
      </c>
      <c r="B404" s="3" t="s">
        <v>2075</v>
      </c>
      <c r="C404" s="3" t="s">
        <v>2076</v>
      </c>
      <c r="D404" s="3" t="s">
        <v>49</v>
      </c>
      <c r="E404" s="3" t="s">
        <v>50</v>
      </c>
      <c r="F404" s="3" t="s">
        <v>2077</v>
      </c>
      <c r="G404" s="3" t="s">
        <v>1086</v>
      </c>
      <c r="H404" s="3" t="s">
        <v>2078</v>
      </c>
      <c r="I404" s="3" t="s">
        <v>2078</v>
      </c>
      <c r="J404" s="3" t="s">
        <v>1947</v>
      </c>
      <c r="K404" s="3" t="s">
        <v>347</v>
      </c>
      <c r="L404" s="3" t="s">
        <v>482</v>
      </c>
      <c r="M404" s="3">
        <v>15</v>
      </c>
      <c r="N404" s="3">
        <v>38</v>
      </c>
      <c r="O404" s="3" t="s">
        <v>75</v>
      </c>
      <c r="P404" s="3" t="s">
        <v>44</v>
      </c>
      <c r="Q404" s="3">
        <v>0</v>
      </c>
      <c r="R404" s="3">
        <v>0</v>
      </c>
      <c r="S404" s="3">
        <v>0</v>
      </c>
      <c r="T404" s="3">
        <v>0</v>
      </c>
      <c r="U404" s="3">
        <v>3</v>
      </c>
      <c r="V404" s="3" t="s">
        <v>2079</v>
      </c>
      <c r="W404" s="3">
        <v>0</v>
      </c>
      <c r="X404" s="3">
        <v>3</v>
      </c>
      <c r="Y404" s="3">
        <v>2</v>
      </c>
      <c r="Z404" s="3">
        <v>1</v>
      </c>
      <c r="AA404" s="3">
        <v>1</v>
      </c>
      <c r="AB404" s="3">
        <v>1</v>
      </c>
      <c r="AC404" s="3">
        <v>12</v>
      </c>
      <c r="AD404" s="3" t="s">
        <v>0</v>
      </c>
      <c r="AE404" s="3" t="s">
        <v>46</v>
      </c>
    </row>
    <row r="405" spans="1:31" ht="25.5" x14ac:dyDescent="0.2">
      <c r="A405" s="4" t="str">
        <f>HYPERLINK("http://www.patentics.cn/invokexml.do?sf=ShowPatent&amp;spn=CN104864543&amp;sv=69151129700fc2f54cae1265f202f64b","CN104864543")</f>
        <v>CN104864543</v>
      </c>
      <c r="B405" s="2" t="s">
        <v>2080</v>
      </c>
      <c r="C405" s="2" t="s">
        <v>2081</v>
      </c>
      <c r="D405" s="2" t="s">
        <v>35</v>
      </c>
      <c r="E405" s="2" t="s">
        <v>36</v>
      </c>
      <c r="F405" s="2" t="s">
        <v>2082</v>
      </c>
      <c r="G405" s="2" t="s">
        <v>1661</v>
      </c>
      <c r="H405" s="2" t="s">
        <v>0</v>
      </c>
      <c r="I405" s="2" t="s">
        <v>2083</v>
      </c>
      <c r="J405" s="2" t="s">
        <v>650</v>
      </c>
      <c r="K405" s="2" t="s">
        <v>41</v>
      </c>
      <c r="L405" s="2" t="s">
        <v>84</v>
      </c>
      <c r="M405" s="2">
        <v>14</v>
      </c>
      <c r="N405" s="2">
        <v>20</v>
      </c>
      <c r="O405" s="2" t="s">
        <v>75</v>
      </c>
      <c r="P405" s="2" t="s">
        <v>44</v>
      </c>
      <c r="Q405" s="2">
        <v>1</v>
      </c>
      <c r="R405" s="2">
        <v>0</v>
      </c>
      <c r="S405" s="2">
        <v>1</v>
      </c>
      <c r="T405" s="2">
        <v>1</v>
      </c>
      <c r="U405" s="2">
        <v>0</v>
      </c>
      <c r="V405" s="2" t="s">
        <v>45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 t="s">
        <v>0</v>
      </c>
      <c r="AD405" s="2">
        <v>1</v>
      </c>
      <c r="AE405" s="2" t="s">
        <v>1852</v>
      </c>
    </row>
    <row r="406" spans="1:31" ht="51" x14ac:dyDescent="0.2">
      <c r="A406" s="5" t="str">
        <f>HYPERLINK("http://www.patentics.cn/invokexml.do?sf=ShowPatent&amp;spn=CN101033882&amp;sv=b7dc1de2045356a037bb8d754e746ba7","CN101033882")</f>
        <v>CN101033882</v>
      </c>
      <c r="B406" s="3" t="s">
        <v>573</v>
      </c>
      <c r="C406" s="3" t="s">
        <v>574</v>
      </c>
      <c r="D406" s="3" t="s">
        <v>49</v>
      </c>
      <c r="E406" s="3" t="s">
        <v>50</v>
      </c>
      <c r="F406" s="3" t="s">
        <v>575</v>
      </c>
      <c r="G406" s="3" t="s">
        <v>88</v>
      </c>
      <c r="H406" s="3" t="s">
        <v>576</v>
      </c>
      <c r="I406" s="3" t="s">
        <v>576</v>
      </c>
      <c r="J406" s="3" t="s">
        <v>577</v>
      </c>
      <c r="K406" s="3" t="s">
        <v>41</v>
      </c>
      <c r="L406" s="3" t="s">
        <v>84</v>
      </c>
      <c r="M406" s="3">
        <v>21</v>
      </c>
      <c r="N406" s="3">
        <v>9</v>
      </c>
      <c r="O406" s="3" t="s">
        <v>75</v>
      </c>
      <c r="P406" s="3" t="s">
        <v>44</v>
      </c>
      <c r="Q406" s="3">
        <v>0</v>
      </c>
      <c r="R406" s="3">
        <v>0</v>
      </c>
      <c r="S406" s="3">
        <v>0</v>
      </c>
      <c r="T406" s="3">
        <v>0</v>
      </c>
      <c r="U406" s="3">
        <v>16</v>
      </c>
      <c r="V406" s="3" t="s">
        <v>578</v>
      </c>
      <c r="W406" s="3">
        <v>7</v>
      </c>
      <c r="X406" s="3">
        <v>9</v>
      </c>
      <c r="Y406" s="3">
        <v>6</v>
      </c>
      <c r="Z406" s="3">
        <v>4</v>
      </c>
      <c r="AA406" s="3">
        <v>9</v>
      </c>
      <c r="AB406" s="3">
        <v>6</v>
      </c>
      <c r="AC406" s="3">
        <v>12</v>
      </c>
      <c r="AD406" s="3" t="s">
        <v>0</v>
      </c>
      <c r="AE406" s="3" t="s">
        <v>46</v>
      </c>
    </row>
    <row r="407" spans="1:31" ht="25.5" x14ac:dyDescent="0.2">
      <c r="A407" s="4" t="str">
        <f>HYPERLINK("http://www.patentics.cn/invokexml.do?sf=ShowPatent&amp;spn=CN104848446&amp;sv=3d0f089ea283d79afd2ca1a62773ebe3","CN104848446")</f>
        <v>CN104848446</v>
      </c>
      <c r="B407" s="2" t="s">
        <v>2084</v>
      </c>
      <c r="C407" s="2" t="s">
        <v>2085</v>
      </c>
      <c r="D407" s="2" t="s">
        <v>79</v>
      </c>
      <c r="E407" s="2" t="s">
        <v>36</v>
      </c>
      <c r="F407" s="2" t="s">
        <v>2086</v>
      </c>
      <c r="G407" s="2" t="s">
        <v>2087</v>
      </c>
      <c r="H407" s="2" t="s">
        <v>0</v>
      </c>
      <c r="I407" s="2" t="s">
        <v>2088</v>
      </c>
      <c r="J407" s="2" t="s">
        <v>1492</v>
      </c>
      <c r="K407" s="2" t="s">
        <v>41</v>
      </c>
      <c r="L407" s="2" t="s">
        <v>891</v>
      </c>
      <c r="M407" s="2">
        <v>9</v>
      </c>
      <c r="N407" s="2">
        <v>35</v>
      </c>
      <c r="O407" s="2" t="s">
        <v>75</v>
      </c>
      <c r="P407" s="2" t="s">
        <v>44</v>
      </c>
      <c r="Q407" s="2">
        <v>1</v>
      </c>
      <c r="R407" s="2">
        <v>0</v>
      </c>
      <c r="S407" s="2">
        <v>1</v>
      </c>
      <c r="T407" s="2">
        <v>1</v>
      </c>
      <c r="U407" s="2">
        <v>0</v>
      </c>
      <c r="V407" s="2" t="s">
        <v>45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 t="s">
        <v>0</v>
      </c>
      <c r="AD407" s="2">
        <v>1</v>
      </c>
      <c r="AE407" s="2" t="s">
        <v>1852</v>
      </c>
    </row>
    <row r="408" spans="1:31" ht="25.5" x14ac:dyDescent="0.2">
      <c r="A408" s="5" t="str">
        <f>HYPERLINK("http://www.patentics.cn/invokexml.do?sf=ShowPatent&amp;spn=CN102338434&amp;sv=6cb90c252092f4c01bc2752c666ba465","CN102338434")</f>
        <v>CN102338434</v>
      </c>
      <c r="B408" s="3" t="s">
        <v>2089</v>
      </c>
      <c r="C408" s="3" t="s">
        <v>2090</v>
      </c>
      <c r="D408" s="3" t="s">
        <v>49</v>
      </c>
      <c r="E408" s="3" t="s">
        <v>50</v>
      </c>
      <c r="F408" s="3" t="s">
        <v>2091</v>
      </c>
      <c r="G408" s="3" t="s">
        <v>2092</v>
      </c>
      <c r="H408" s="3" t="s">
        <v>0</v>
      </c>
      <c r="I408" s="3" t="s">
        <v>2093</v>
      </c>
      <c r="J408" s="3" t="s">
        <v>2094</v>
      </c>
      <c r="K408" s="3" t="s">
        <v>41</v>
      </c>
      <c r="L408" s="3" t="s">
        <v>891</v>
      </c>
      <c r="M408" s="3">
        <v>10</v>
      </c>
      <c r="N408" s="3">
        <v>19</v>
      </c>
      <c r="O408" s="3" t="s">
        <v>75</v>
      </c>
      <c r="P408" s="3" t="s">
        <v>44</v>
      </c>
      <c r="Q408" s="3">
        <v>0</v>
      </c>
      <c r="R408" s="3">
        <v>0</v>
      </c>
      <c r="S408" s="3">
        <v>0</v>
      </c>
      <c r="T408" s="3">
        <v>0</v>
      </c>
      <c r="U408" s="3">
        <v>1</v>
      </c>
      <c r="V408" s="3" t="s">
        <v>553</v>
      </c>
      <c r="W408" s="3">
        <v>0</v>
      </c>
      <c r="X408" s="3">
        <v>1</v>
      </c>
      <c r="Y408" s="3">
        <v>1</v>
      </c>
      <c r="Z408" s="3">
        <v>1</v>
      </c>
      <c r="AA408" s="3">
        <v>0</v>
      </c>
      <c r="AB408" s="3">
        <v>0</v>
      </c>
      <c r="AC408" s="3">
        <v>12</v>
      </c>
      <c r="AD408" s="3" t="s">
        <v>0</v>
      </c>
      <c r="AE408" s="3" t="s">
        <v>100</v>
      </c>
    </row>
    <row r="409" spans="1:31" ht="25.5" x14ac:dyDescent="0.2">
      <c r="A409" s="4" t="str">
        <f>HYPERLINK("http://www.patentics.cn/invokexml.do?sf=ShowPatent&amp;spn=CN104697124&amp;sv=9b685ea32bbd463b0c1477c351fdd482","CN104697124")</f>
        <v>CN104697124</v>
      </c>
      <c r="B409" s="2" t="s">
        <v>2095</v>
      </c>
      <c r="C409" s="2" t="s">
        <v>2096</v>
      </c>
      <c r="D409" s="2" t="s">
        <v>35</v>
      </c>
      <c r="E409" s="2" t="s">
        <v>36</v>
      </c>
      <c r="F409" s="2" t="s">
        <v>2097</v>
      </c>
      <c r="G409" s="2" t="s">
        <v>1361</v>
      </c>
      <c r="H409" s="2" t="s">
        <v>0</v>
      </c>
      <c r="I409" s="2" t="s">
        <v>2098</v>
      </c>
      <c r="J409" s="2" t="s">
        <v>2099</v>
      </c>
      <c r="K409" s="2" t="s">
        <v>41</v>
      </c>
      <c r="L409" s="2" t="s">
        <v>91</v>
      </c>
      <c r="M409" s="2">
        <v>20</v>
      </c>
      <c r="N409" s="2">
        <v>13</v>
      </c>
      <c r="O409" s="2" t="s">
        <v>75</v>
      </c>
      <c r="P409" s="2" t="s">
        <v>44</v>
      </c>
      <c r="Q409" s="2">
        <v>2</v>
      </c>
      <c r="R409" s="2">
        <v>0</v>
      </c>
      <c r="S409" s="2">
        <v>2</v>
      </c>
      <c r="T409" s="2">
        <v>2</v>
      </c>
      <c r="U409" s="2">
        <v>0</v>
      </c>
      <c r="V409" s="2" t="s">
        <v>45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 t="s">
        <v>0</v>
      </c>
      <c r="AD409" s="2">
        <v>1</v>
      </c>
      <c r="AE409" s="2" t="s">
        <v>1852</v>
      </c>
    </row>
    <row r="410" spans="1:31" ht="38.25" x14ac:dyDescent="0.2">
      <c r="A410" s="5" t="str">
        <f>HYPERLINK("http://www.patentics.cn/invokexml.do?sf=ShowPatent&amp;spn=CN1800738&amp;sv=f6dcae1918ec3605c1e9e488460d6004","CN1800738")</f>
        <v>CN1800738</v>
      </c>
      <c r="B410" s="3" t="s">
        <v>2100</v>
      </c>
      <c r="C410" s="3" t="s">
        <v>2101</v>
      </c>
      <c r="D410" s="3" t="s">
        <v>49</v>
      </c>
      <c r="E410" s="3" t="s">
        <v>50</v>
      </c>
      <c r="F410" s="3" t="s">
        <v>2102</v>
      </c>
      <c r="G410" s="3" t="s">
        <v>133</v>
      </c>
      <c r="H410" s="3" t="s">
        <v>2103</v>
      </c>
      <c r="I410" s="3" t="s">
        <v>2103</v>
      </c>
      <c r="J410" s="3" t="s">
        <v>775</v>
      </c>
      <c r="K410" s="3" t="s">
        <v>41</v>
      </c>
      <c r="L410" s="3" t="s">
        <v>91</v>
      </c>
      <c r="M410" s="3">
        <v>8</v>
      </c>
      <c r="N410" s="3">
        <v>4</v>
      </c>
      <c r="O410" s="3" t="s">
        <v>75</v>
      </c>
      <c r="P410" s="3" t="s">
        <v>44</v>
      </c>
      <c r="Q410" s="3">
        <v>0</v>
      </c>
      <c r="R410" s="3">
        <v>0</v>
      </c>
      <c r="S410" s="3">
        <v>0</v>
      </c>
      <c r="T410" s="3">
        <v>0</v>
      </c>
      <c r="U410" s="3">
        <v>1</v>
      </c>
      <c r="V410" s="3" t="s">
        <v>56</v>
      </c>
      <c r="W410" s="3">
        <v>0</v>
      </c>
      <c r="X410" s="3">
        <v>1</v>
      </c>
      <c r="Y410" s="3">
        <v>1</v>
      </c>
      <c r="Z410" s="3">
        <v>1</v>
      </c>
      <c r="AA410" s="3">
        <v>1</v>
      </c>
      <c r="AB410" s="3">
        <v>1</v>
      </c>
      <c r="AC410" s="3">
        <v>12</v>
      </c>
      <c r="AD410" s="3" t="s">
        <v>0</v>
      </c>
      <c r="AE410" s="3" t="s">
        <v>57</v>
      </c>
    </row>
    <row r="411" spans="1:31" ht="25.5" x14ac:dyDescent="0.2">
      <c r="A411" s="4" t="str">
        <f>HYPERLINK("http://www.patentics.cn/invokexml.do?sf=ShowPatent&amp;spn=CN104566817&amp;sv=23ef18afd76eb0df76e1141ada1b7e05","CN104566817")</f>
        <v>CN104566817</v>
      </c>
      <c r="B411" s="2" t="s">
        <v>2104</v>
      </c>
      <c r="C411" s="2" t="s">
        <v>2105</v>
      </c>
      <c r="D411" s="2" t="s">
        <v>35</v>
      </c>
      <c r="E411" s="2" t="s">
        <v>36</v>
      </c>
      <c r="F411" s="2" t="s">
        <v>2106</v>
      </c>
      <c r="G411" s="2" t="s">
        <v>2107</v>
      </c>
      <c r="H411" s="2" t="s">
        <v>0</v>
      </c>
      <c r="I411" s="2" t="s">
        <v>2108</v>
      </c>
      <c r="J411" s="2" t="s">
        <v>2060</v>
      </c>
      <c r="K411" s="2" t="s">
        <v>41</v>
      </c>
      <c r="L411" s="2" t="s">
        <v>84</v>
      </c>
      <c r="M411" s="2">
        <v>11</v>
      </c>
      <c r="N411" s="2">
        <v>19</v>
      </c>
      <c r="O411" s="2" t="s">
        <v>75</v>
      </c>
      <c r="P411" s="2" t="s">
        <v>44</v>
      </c>
      <c r="Q411" s="2">
        <v>2</v>
      </c>
      <c r="R411" s="2">
        <v>0</v>
      </c>
      <c r="S411" s="2">
        <v>2</v>
      </c>
      <c r="T411" s="2">
        <v>2</v>
      </c>
      <c r="U411" s="2">
        <v>0</v>
      </c>
      <c r="V411" s="2" t="s">
        <v>45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 t="s">
        <v>0</v>
      </c>
      <c r="AD411" s="2">
        <v>1</v>
      </c>
      <c r="AE411" s="2" t="s">
        <v>1852</v>
      </c>
    </row>
    <row r="412" spans="1:31" ht="51" x14ac:dyDescent="0.2">
      <c r="A412" s="5" t="str">
        <f>HYPERLINK("http://www.patentics.cn/invokexml.do?sf=ShowPatent&amp;spn=CN1889614&amp;sv=a8bd8a5113e00d6cff197d2b83f76e73","CN1889614")</f>
        <v>CN1889614</v>
      </c>
      <c r="B412" s="3" t="s">
        <v>2109</v>
      </c>
      <c r="C412" s="3" t="s">
        <v>2110</v>
      </c>
      <c r="D412" s="3" t="s">
        <v>49</v>
      </c>
      <c r="E412" s="3" t="s">
        <v>50</v>
      </c>
      <c r="F412" s="3" t="s">
        <v>2111</v>
      </c>
      <c r="G412" s="3" t="s">
        <v>2112</v>
      </c>
      <c r="H412" s="3" t="s">
        <v>558</v>
      </c>
      <c r="I412" s="3" t="s">
        <v>558</v>
      </c>
      <c r="J412" s="3" t="s">
        <v>2113</v>
      </c>
      <c r="K412" s="3" t="s">
        <v>2114</v>
      </c>
      <c r="L412" s="3" t="s">
        <v>2115</v>
      </c>
      <c r="M412" s="3">
        <v>11</v>
      </c>
      <c r="N412" s="3">
        <v>19</v>
      </c>
      <c r="O412" s="3" t="s">
        <v>75</v>
      </c>
      <c r="P412" s="3" t="s">
        <v>44</v>
      </c>
      <c r="Q412" s="3">
        <v>0</v>
      </c>
      <c r="R412" s="3">
        <v>0</v>
      </c>
      <c r="S412" s="3">
        <v>0</v>
      </c>
      <c r="T412" s="3">
        <v>0</v>
      </c>
      <c r="U412" s="3">
        <v>10</v>
      </c>
      <c r="V412" s="3" t="s">
        <v>2116</v>
      </c>
      <c r="W412" s="3">
        <v>3</v>
      </c>
      <c r="X412" s="3">
        <v>7</v>
      </c>
      <c r="Y412" s="3">
        <v>6</v>
      </c>
      <c r="Z412" s="3">
        <v>4</v>
      </c>
      <c r="AA412" s="3">
        <v>5</v>
      </c>
      <c r="AB412" s="3">
        <v>4</v>
      </c>
      <c r="AC412" s="3">
        <v>12</v>
      </c>
      <c r="AD412" s="3" t="s">
        <v>0</v>
      </c>
      <c r="AE412" s="3" t="s">
        <v>46</v>
      </c>
    </row>
    <row r="413" spans="1:31" ht="38.25" x14ac:dyDescent="0.2">
      <c r="A413" s="4" t="str">
        <f>HYPERLINK("http://www.patentics.cn/invokexml.do?sf=ShowPatent&amp;spn=CN104421192&amp;sv=a141a6e2b0a6c7a4132f799031a4c708","CN104421192")</f>
        <v>CN104421192</v>
      </c>
      <c r="B413" s="2" t="s">
        <v>782</v>
      </c>
      <c r="C413" s="2" t="s">
        <v>783</v>
      </c>
      <c r="D413" s="2" t="s">
        <v>784</v>
      </c>
      <c r="E413" s="2" t="s">
        <v>624</v>
      </c>
      <c r="F413" s="2" t="s">
        <v>785</v>
      </c>
      <c r="G413" s="2" t="s">
        <v>786</v>
      </c>
      <c r="H413" s="2" t="s">
        <v>0</v>
      </c>
      <c r="I413" s="2" t="s">
        <v>787</v>
      </c>
      <c r="J413" s="2" t="s">
        <v>2117</v>
      </c>
      <c r="K413" s="2" t="s">
        <v>789</v>
      </c>
      <c r="L413" s="2" t="s">
        <v>790</v>
      </c>
      <c r="M413" s="2">
        <v>13</v>
      </c>
      <c r="N413" s="2">
        <v>12</v>
      </c>
      <c r="O413" s="2" t="s">
        <v>75</v>
      </c>
      <c r="P413" s="2" t="s">
        <v>44</v>
      </c>
      <c r="Q413" s="2">
        <v>1</v>
      </c>
      <c r="R413" s="2">
        <v>0</v>
      </c>
      <c r="S413" s="2">
        <v>1</v>
      </c>
      <c r="T413" s="2">
        <v>1</v>
      </c>
      <c r="U413" s="2">
        <v>0</v>
      </c>
      <c r="V413" s="2" t="s">
        <v>45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 t="s">
        <v>0</v>
      </c>
      <c r="AD413" s="2">
        <v>1</v>
      </c>
      <c r="AE413" s="2" t="s">
        <v>46</v>
      </c>
    </row>
    <row r="414" spans="1:31" ht="38.25" x14ac:dyDescent="0.2">
      <c r="A414" s="5" t="str">
        <f>HYPERLINK("http://www.patentics.cn/invokexml.do?sf=ShowPatent&amp;spn=CN102287391&amp;sv=9a2af4d5f8a780256a694e2e9e000387","CN102287391")</f>
        <v>CN102287391</v>
      </c>
      <c r="B414" s="3" t="s">
        <v>791</v>
      </c>
      <c r="C414" s="3" t="s">
        <v>792</v>
      </c>
      <c r="D414" s="3" t="s">
        <v>793</v>
      </c>
      <c r="E414" s="3" t="s">
        <v>190</v>
      </c>
      <c r="F414" s="3" t="s">
        <v>794</v>
      </c>
      <c r="G414" s="3" t="s">
        <v>794</v>
      </c>
      <c r="H414" s="3" t="s">
        <v>795</v>
      </c>
      <c r="I414" s="3" t="s">
        <v>795</v>
      </c>
      <c r="J414" s="3" t="s">
        <v>796</v>
      </c>
      <c r="K414" s="3" t="s">
        <v>789</v>
      </c>
      <c r="L414" s="3" t="s">
        <v>790</v>
      </c>
      <c r="M414" s="3">
        <v>9</v>
      </c>
      <c r="N414" s="3">
        <v>12</v>
      </c>
      <c r="O414" s="3" t="s">
        <v>75</v>
      </c>
      <c r="P414" s="3" t="s">
        <v>44</v>
      </c>
      <c r="Q414" s="3">
        <v>0</v>
      </c>
      <c r="R414" s="3">
        <v>0</v>
      </c>
      <c r="S414" s="3">
        <v>0</v>
      </c>
      <c r="T414" s="3">
        <v>0</v>
      </c>
      <c r="U414" s="3">
        <v>2</v>
      </c>
      <c r="V414" s="3" t="s">
        <v>797</v>
      </c>
      <c r="W414" s="3">
        <v>0</v>
      </c>
      <c r="X414" s="3">
        <v>2</v>
      </c>
      <c r="Y414" s="3">
        <v>1</v>
      </c>
      <c r="Z414" s="3">
        <v>1</v>
      </c>
      <c r="AA414" s="3">
        <v>1</v>
      </c>
      <c r="AB414" s="3">
        <v>1</v>
      </c>
      <c r="AC414" s="3">
        <v>12</v>
      </c>
      <c r="AD414" s="3" t="s">
        <v>0</v>
      </c>
      <c r="AE414" s="3" t="s">
        <v>46</v>
      </c>
    </row>
    <row r="415" spans="1:31" ht="25.5" x14ac:dyDescent="0.2">
      <c r="A415" s="4" t="str">
        <f>HYPERLINK("http://www.patentics.cn/invokexml.do?sf=ShowPatent&amp;spn=CN203857543&amp;sv=7d01d8eeee4c806e0713d68f1a0d7d15","CN203857543")</f>
        <v>CN203857543</v>
      </c>
      <c r="B415" s="2" t="s">
        <v>2118</v>
      </c>
      <c r="C415" s="2" t="s">
        <v>504</v>
      </c>
      <c r="D415" s="2" t="s">
        <v>35</v>
      </c>
      <c r="E415" s="2" t="s">
        <v>36</v>
      </c>
      <c r="F415" s="2" t="s">
        <v>691</v>
      </c>
      <c r="G415" s="2" t="s">
        <v>654</v>
      </c>
      <c r="H415" s="2" t="s">
        <v>0</v>
      </c>
      <c r="I415" s="2" t="s">
        <v>692</v>
      </c>
      <c r="J415" s="2" t="s">
        <v>83</v>
      </c>
      <c r="K415" s="2" t="s">
        <v>41</v>
      </c>
      <c r="L415" s="2" t="s">
        <v>42</v>
      </c>
      <c r="M415" s="2">
        <v>10</v>
      </c>
      <c r="N415" s="2">
        <v>14</v>
      </c>
      <c r="O415" s="2" t="s">
        <v>55</v>
      </c>
      <c r="P415" s="2" t="s">
        <v>44</v>
      </c>
      <c r="Q415" s="2">
        <v>1</v>
      </c>
      <c r="R415" s="2">
        <v>0</v>
      </c>
      <c r="S415" s="2">
        <v>1</v>
      </c>
      <c r="T415" s="2">
        <v>1</v>
      </c>
      <c r="U415" s="2">
        <v>0</v>
      </c>
      <c r="V415" s="2" t="s">
        <v>45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 t="s">
        <v>0</v>
      </c>
      <c r="AD415" s="2">
        <v>1</v>
      </c>
      <c r="AE415" s="2" t="s">
        <v>46</v>
      </c>
    </row>
    <row r="416" spans="1:31" ht="76.5" x14ac:dyDescent="0.2">
      <c r="A416" s="5" t="str">
        <f>HYPERLINK("http://www.patentics.cn/invokexml.do?sf=ShowPatent&amp;spn=CN102478298&amp;sv=96e93d0fd51e6b7b19687ef998ce9181","CN102478298")</f>
        <v>CN102478298</v>
      </c>
      <c r="B416" s="3" t="s">
        <v>694</v>
      </c>
      <c r="C416" s="3" t="s">
        <v>504</v>
      </c>
      <c r="D416" s="3" t="s">
        <v>49</v>
      </c>
      <c r="E416" s="3" t="s">
        <v>50</v>
      </c>
      <c r="F416" s="3" t="s">
        <v>695</v>
      </c>
      <c r="G416" s="3" t="s">
        <v>52</v>
      </c>
      <c r="H416" s="3" t="s">
        <v>696</v>
      </c>
      <c r="I416" s="3" t="s">
        <v>696</v>
      </c>
      <c r="J416" s="3" t="s">
        <v>697</v>
      </c>
      <c r="K416" s="3" t="s">
        <v>41</v>
      </c>
      <c r="L416" s="3" t="s">
        <v>671</v>
      </c>
      <c r="M416" s="3">
        <v>10</v>
      </c>
      <c r="N416" s="3">
        <v>7</v>
      </c>
      <c r="O416" s="3" t="s">
        <v>75</v>
      </c>
      <c r="P416" s="3" t="s">
        <v>44</v>
      </c>
      <c r="Q416" s="3">
        <v>0</v>
      </c>
      <c r="R416" s="3">
        <v>0</v>
      </c>
      <c r="S416" s="3">
        <v>0</v>
      </c>
      <c r="T416" s="3">
        <v>0</v>
      </c>
      <c r="U416" s="3">
        <v>3</v>
      </c>
      <c r="V416" s="3" t="s">
        <v>698</v>
      </c>
      <c r="W416" s="3">
        <v>0</v>
      </c>
      <c r="X416" s="3">
        <v>3</v>
      </c>
      <c r="Y416" s="3">
        <v>1</v>
      </c>
      <c r="Z416" s="3">
        <v>1</v>
      </c>
      <c r="AA416" s="3">
        <v>1</v>
      </c>
      <c r="AB416" s="3">
        <v>1</v>
      </c>
      <c r="AC416" s="3">
        <v>12</v>
      </c>
      <c r="AD416" s="3" t="s">
        <v>0</v>
      </c>
      <c r="AE416" s="3" t="s">
        <v>46</v>
      </c>
    </row>
    <row r="417" spans="1:31" ht="25.5" x14ac:dyDescent="0.2">
      <c r="A417" s="4" t="str">
        <f>HYPERLINK("http://www.patentics.cn/invokexml.do?sf=ShowPatent&amp;spn=CN103984338&amp;sv=3f33367284aee8e2fdb48f0543811821","CN103984338")</f>
        <v>CN103984338</v>
      </c>
      <c r="B417" s="2" t="s">
        <v>672</v>
      </c>
      <c r="C417" s="2" t="s">
        <v>673</v>
      </c>
      <c r="D417" s="2" t="s">
        <v>674</v>
      </c>
      <c r="E417" s="2" t="s">
        <v>36</v>
      </c>
      <c r="F417" s="2" t="s">
        <v>675</v>
      </c>
      <c r="G417" s="2" t="s">
        <v>676</v>
      </c>
      <c r="H417" s="2" t="s">
        <v>0</v>
      </c>
      <c r="I417" s="2" t="s">
        <v>677</v>
      </c>
      <c r="J417" s="2" t="s">
        <v>1998</v>
      </c>
      <c r="K417" s="2" t="s">
        <v>679</v>
      </c>
      <c r="L417" s="2" t="s">
        <v>680</v>
      </c>
      <c r="M417" s="2">
        <v>7</v>
      </c>
      <c r="N417" s="2">
        <v>16</v>
      </c>
      <c r="O417" s="2" t="s">
        <v>75</v>
      </c>
      <c r="P417" s="2" t="s">
        <v>44</v>
      </c>
      <c r="Q417" s="2">
        <v>1</v>
      </c>
      <c r="R417" s="2">
        <v>0</v>
      </c>
      <c r="S417" s="2">
        <v>1</v>
      </c>
      <c r="T417" s="2">
        <v>1</v>
      </c>
      <c r="U417" s="2">
        <v>0</v>
      </c>
      <c r="V417" s="2" t="s">
        <v>45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 t="s">
        <v>0</v>
      </c>
      <c r="AD417" s="2">
        <v>1</v>
      </c>
      <c r="AE417" s="2" t="s">
        <v>46</v>
      </c>
    </row>
    <row r="418" spans="1:31" ht="63.75" x14ac:dyDescent="0.2">
      <c r="A418" s="5" t="str">
        <f>HYPERLINK("http://www.patentics.cn/invokexml.do?sf=ShowPatent&amp;spn=CN101113942&amp;sv=3aa1d3cd31eb8c55631bcaa4477df9bc","CN101113942")</f>
        <v>CN101113942</v>
      </c>
      <c r="B418" s="3" t="s">
        <v>681</v>
      </c>
      <c r="C418" s="3" t="s">
        <v>682</v>
      </c>
      <c r="D418" s="3" t="s">
        <v>49</v>
      </c>
      <c r="E418" s="3" t="s">
        <v>50</v>
      </c>
      <c r="F418" s="3" t="s">
        <v>683</v>
      </c>
      <c r="G418" s="3" t="s">
        <v>684</v>
      </c>
      <c r="H418" s="3" t="s">
        <v>0</v>
      </c>
      <c r="I418" s="3" t="s">
        <v>685</v>
      </c>
      <c r="J418" s="3" t="s">
        <v>686</v>
      </c>
      <c r="K418" s="3" t="s">
        <v>687</v>
      </c>
      <c r="L418" s="3" t="s">
        <v>688</v>
      </c>
      <c r="M418" s="3">
        <v>17</v>
      </c>
      <c r="N418" s="3">
        <v>25</v>
      </c>
      <c r="O418" s="3" t="s">
        <v>75</v>
      </c>
      <c r="P418" s="3" t="s">
        <v>44</v>
      </c>
      <c r="Q418" s="3">
        <v>2</v>
      </c>
      <c r="R418" s="3">
        <v>0</v>
      </c>
      <c r="S418" s="3">
        <v>2</v>
      </c>
      <c r="T418" s="3">
        <v>2</v>
      </c>
      <c r="U418" s="3">
        <v>5</v>
      </c>
      <c r="V418" s="3" t="s">
        <v>689</v>
      </c>
      <c r="W418" s="3">
        <v>3</v>
      </c>
      <c r="X418" s="3">
        <v>2</v>
      </c>
      <c r="Y418" s="3">
        <v>2</v>
      </c>
      <c r="Z418" s="3">
        <v>1</v>
      </c>
      <c r="AA418" s="3">
        <v>0</v>
      </c>
      <c r="AB418" s="3">
        <v>0</v>
      </c>
      <c r="AC418" s="3">
        <v>12</v>
      </c>
      <c r="AD418" s="3" t="s">
        <v>0</v>
      </c>
      <c r="AE418" s="3" t="s">
        <v>302</v>
      </c>
    </row>
    <row r="419" spans="1:31" ht="25.5" x14ac:dyDescent="0.2">
      <c r="A419" s="4" t="str">
        <f>HYPERLINK("http://www.patentics.cn/invokexml.do?sf=ShowPatent&amp;spn=CN203717353&amp;sv=df2de8b2b51116ec85c38d4bcae2ed54","CN203717353")</f>
        <v>CN203717353</v>
      </c>
      <c r="B419" s="2" t="s">
        <v>2119</v>
      </c>
      <c r="C419" s="2" t="s">
        <v>2120</v>
      </c>
      <c r="D419" s="2" t="s">
        <v>180</v>
      </c>
      <c r="E419" s="2" t="s">
        <v>36</v>
      </c>
      <c r="F419" s="2" t="s">
        <v>2121</v>
      </c>
      <c r="G419" s="2" t="s">
        <v>2122</v>
      </c>
      <c r="H419" s="2" t="s">
        <v>0</v>
      </c>
      <c r="I419" s="2" t="s">
        <v>2123</v>
      </c>
      <c r="J419" s="2" t="s">
        <v>475</v>
      </c>
      <c r="K419" s="2" t="s">
        <v>185</v>
      </c>
      <c r="L419" s="2" t="s">
        <v>195</v>
      </c>
      <c r="M419" s="2">
        <v>5</v>
      </c>
      <c r="N419" s="2">
        <v>13</v>
      </c>
      <c r="O419" s="2" t="s">
        <v>55</v>
      </c>
      <c r="P419" s="2" t="s">
        <v>44</v>
      </c>
      <c r="Q419" s="2">
        <v>1</v>
      </c>
      <c r="R419" s="2">
        <v>0</v>
      </c>
      <c r="S419" s="2">
        <v>1</v>
      </c>
      <c r="T419" s="2">
        <v>1</v>
      </c>
      <c r="U419" s="2">
        <v>0</v>
      </c>
      <c r="V419" s="2" t="s">
        <v>45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 t="s">
        <v>0</v>
      </c>
      <c r="AD419" s="2">
        <v>1</v>
      </c>
      <c r="AE419" s="2" t="s">
        <v>46</v>
      </c>
    </row>
    <row r="420" spans="1:31" ht="25.5" x14ac:dyDescent="0.2">
      <c r="A420" s="5" t="str">
        <f>HYPERLINK("http://www.patentics.cn/invokexml.do?sf=ShowPatent&amp;spn=CN202560563&amp;sv=b283dbb571c05b99fd337475fbf4fe22","CN202560563")</f>
        <v>CN202560563</v>
      </c>
      <c r="B420" s="3" t="s">
        <v>2124</v>
      </c>
      <c r="C420" s="3" t="s">
        <v>2125</v>
      </c>
      <c r="D420" s="3" t="s">
        <v>377</v>
      </c>
      <c r="E420" s="3" t="s">
        <v>50</v>
      </c>
      <c r="F420" s="3" t="s">
        <v>2126</v>
      </c>
      <c r="G420" s="3" t="s">
        <v>2127</v>
      </c>
      <c r="H420" s="3" t="s">
        <v>0</v>
      </c>
      <c r="I420" s="3" t="s">
        <v>2128</v>
      </c>
      <c r="J420" s="3" t="s">
        <v>1273</v>
      </c>
      <c r="K420" s="3" t="s">
        <v>185</v>
      </c>
      <c r="L420" s="3" t="s">
        <v>1069</v>
      </c>
      <c r="M420" s="3">
        <v>15</v>
      </c>
      <c r="N420" s="3">
        <v>22</v>
      </c>
      <c r="O420" s="3" t="s">
        <v>55</v>
      </c>
      <c r="P420" s="3" t="s">
        <v>44</v>
      </c>
      <c r="Q420" s="3">
        <v>0</v>
      </c>
      <c r="R420" s="3">
        <v>0</v>
      </c>
      <c r="S420" s="3">
        <v>0</v>
      </c>
      <c r="T420" s="3">
        <v>0</v>
      </c>
      <c r="U420" s="3">
        <v>4</v>
      </c>
      <c r="V420" s="3" t="s">
        <v>2129</v>
      </c>
      <c r="W420" s="3">
        <v>1</v>
      </c>
      <c r="X420" s="3">
        <v>3</v>
      </c>
      <c r="Y420" s="3">
        <v>3</v>
      </c>
      <c r="Z420" s="3">
        <v>2</v>
      </c>
      <c r="AA420" s="3">
        <v>0</v>
      </c>
      <c r="AB420" s="3">
        <v>0</v>
      </c>
      <c r="AC420" s="3">
        <v>12</v>
      </c>
      <c r="AD420" s="3" t="s">
        <v>0</v>
      </c>
      <c r="AE420" s="3" t="s">
        <v>57</v>
      </c>
    </row>
    <row r="421" spans="1:31" ht="25.5" x14ac:dyDescent="0.2">
      <c r="A421" s="4" t="str">
        <f>HYPERLINK("http://www.patentics.cn/invokexml.do?sf=ShowPatent&amp;spn=CN103868155&amp;sv=009bdd06005ebc176aacf3e9da8159bb","CN103868155")</f>
        <v>CN103868155</v>
      </c>
      <c r="B421" s="2" t="s">
        <v>690</v>
      </c>
      <c r="C421" s="2" t="s">
        <v>504</v>
      </c>
      <c r="D421" s="2" t="s">
        <v>35</v>
      </c>
      <c r="E421" s="2" t="s">
        <v>36</v>
      </c>
      <c r="F421" s="2" t="s">
        <v>691</v>
      </c>
      <c r="G421" s="2" t="s">
        <v>654</v>
      </c>
      <c r="H421" s="2" t="s">
        <v>0</v>
      </c>
      <c r="I421" s="2" t="s">
        <v>692</v>
      </c>
      <c r="J421" s="2" t="s">
        <v>2130</v>
      </c>
      <c r="K421" s="2" t="s">
        <v>41</v>
      </c>
      <c r="L421" s="2" t="s">
        <v>42</v>
      </c>
      <c r="M421" s="2">
        <v>10</v>
      </c>
      <c r="N421" s="2">
        <v>14</v>
      </c>
      <c r="O421" s="2" t="s">
        <v>75</v>
      </c>
      <c r="P421" s="2" t="s">
        <v>44</v>
      </c>
      <c r="Q421" s="2">
        <v>1</v>
      </c>
      <c r="R421" s="2">
        <v>0</v>
      </c>
      <c r="S421" s="2">
        <v>1</v>
      </c>
      <c r="T421" s="2">
        <v>1</v>
      </c>
      <c r="U421" s="2">
        <v>0</v>
      </c>
      <c r="V421" s="2" t="s">
        <v>45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 t="s">
        <v>0</v>
      </c>
      <c r="AD421" s="2">
        <v>1</v>
      </c>
      <c r="AE421" s="2" t="s">
        <v>46</v>
      </c>
    </row>
    <row r="422" spans="1:31" ht="76.5" x14ac:dyDescent="0.2">
      <c r="A422" s="5" t="str">
        <f>HYPERLINK("http://www.patentics.cn/invokexml.do?sf=ShowPatent&amp;spn=CN102478298&amp;sv=96e93d0fd51e6b7b19687ef998ce9181","CN102478298")</f>
        <v>CN102478298</v>
      </c>
      <c r="B422" s="3" t="s">
        <v>694</v>
      </c>
      <c r="C422" s="3" t="s">
        <v>504</v>
      </c>
      <c r="D422" s="3" t="s">
        <v>49</v>
      </c>
      <c r="E422" s="3" t="s">
        <v>50</v>
      </c>
      <c r="F422" s="3" t="s">
        <v>695</v>
      </c>
      <c r="G422" s="3" t="s">
        <v>52</v>
      </c>
      <c r="H422" s="3" t="s">
        <v>696</v>
      </c>
      <c r="I422" s="3" t="s">
        <v>696</v>
      </c>
      <c r="J422" s="3" t="s">
        <v>697</v>
      </c>
      <c r="K422" s="3" t="s">
        <v>41</v>
      </c>
      <c r="L422" s="3" t="s">
        <v>671</v>
      </c>
      <c r="M422" s="3">
        <v>10</v>
      </c>
      <c r="N422" s="3">
        <v>7</v>
      </c>
      <c r="O422" s="3" t="s">
        <v>75</v>
      </c>
      <c r="P422" s="3" t="s">
        <v>44</v>
      </c>
      <c r="Q422" s="3">
        <v>0</v>
      </c>
      <c r="R422" s="3">
        <v>0</v>
      </c>
      <c r="S422" s="3">
        <v>0</v>
      </c>
      <c r="T422" s="3">
        <v>0</v>
      </c>
      <c r="U422" s="3">
        <v>3</v>
      </c>
      <c r="V422" s="3" t="s">
        <v>698</v>
      </c>
      <c r="W422" s="3">
        <v>0</v>
      </c>
      <c r="X422" s="3">
        <v>3</v>
      </c>
      <c r="Y422" s="3">
        <v>1</v>
      </c>
      <c r="Z422" s="3">
        <v>1</v>
      </c>
      <c r="AA422" s="3">
        <v>1</v>
      </c>
      <c r="AB422" s="3">
        <v>1</v>
      </c>
      <c r="AC422" s="3">
        <v>12</v>
      </c>
      <c r="AD422" s="3" t="s">
        <v>0</v>
      </c>
      <c r="AE422" s="3" t="s">
        <v>46</v>
      </c>
    </row>
    <row r="423" spans="1:31" ht="25.5" x14ac:dyDescent="0.2">
      <c r="A423" s="4" t="str">
        <f>HYPERLINK("http://www.patentics.cn/invokexml.do?sf=ShowPatent&amp;spn=CN103727039&amp;sv=3a43d2e40c530bdbb721266e04443f87","CN103727039")</f>
        <v>CN103727039</v>
      </c>
      <c r="B423" s="2" t="s">
        <v>2131</v>
      </c>
      <c r="C423" s="2" t="s">
        <v>2120</v>
      </c>
      <c r="D423" s="2" t="s">
        <v>180</v>
      </c>
      <c r="E423" s="2" t="s">
        <v>36</v>
      </c>
      <c r="F423" s="2" t="s">
        <v>2121</v>
      </c>
      <c r="G423" s="2" t="s">
        <v>2122</v>
      </c>
      <c r="H423" s="2" t="s">
        <v>0</v>
      </c>
      <c r="I423" s="2" t="s">
        <v>2123</v>
      </c>
      <c r="J423" s="2" t="s">
        <v>2132</v>
      </c>
      <c r="K423" s="2" t="s">
        <v>185</v>
      </c>
      <c r="L423" s="2" t="s">
        <v>195</v>
      </c>
      <c r="M423" s="2">
        <v>5</v>
      </c>
      <c r="N423" s="2">
        <v>13</v>
      </c>
      <c r="O423" s="2" t="s">
        <v>75</v>
      </c>
      <c r="P423" s="2" t="s">
        <v>44</v>
      </c>
      <c r="Q423" s="2">
        <v>1</v>
      </c>
      <c r="R423" s="2">
        <v>0</v>
      </c>
      <c r="S423" s="2">
        <v>1</v>
      </c>
      <c r="T423" s="2">
        <v>1</v>
      </c>
      <c r="U423" s="2">
        <v>0</v>
      </c>
      <c r="V423" s="2" t="s">
        <v>45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 t="s">
        <v>0</v>
      </c>
      <c r="AD423" s="2">
        <v>1</v>
      </c>
      <c r="AE423" s="2" t="s">
        <v>302</v>
      </c>
    </row>
    <row r="424" spans="1:31" ht="25.5" x14ac:dyDescent="0.2">
      <c r="A424" s="5" t="str">
        <f>HYPERLINK("http://www.patentics.cn/invokexml.do?sf=ShowPatent&amp;spn=CN202560563&amp;sv=b283dbb571c05b99fd337475fbf4fe22","CN202560563")</f>
        <v>CN202560563</v>
      </c>
      <c r="B424" s="3" t="s">
        <v>2124</v>
      </c>
      <c r="C424" s="3" t="s">
        <v>2125</v>
      </c>
      <c r="D424" s="3" t="s">
        <v>377</v>
      </c>
      <c r="E424" s="3" t="s">
        <v>50</v>
      </c>
      <c r="F424" s="3" t="s">
        <v>2126</v>
      </c>
      <c r="G424" s="3" t="s">
        <v>2127</v>
      </c>
      <c r="H424" s="3" t="s">
        <v>0</v>
      </c>
      <c r="I424" s="3" t="s">
        <v>2128</v>
      </c>
      <c r="J424" s="3" t="s">
        <v>1273</v>
      </c>
      <c r="K424" s="3" t="s">
        <v>185</v>
      </c>
      <c r="L424" s="3" t="s">
        <v>1069</v>
      </c>
      <c r="M424" s="3">
        <v>15</v>
      </c>
      <c r="N424" s="3">
        <v>22</v>
      </c>
      <c r="O424" s="3" t="s">
        <v>55</v>
      </c>
      <c r="P424" s="3" t="s">
        <v>44</v>
      </c>
      <c r="Q424" s="3">
        <v>0</v>
      </c>
      <c r="R424" s="3">
        <v>0</v>
      </c>
      <c r="S424" s="3">
        <v>0</v>
      </c>
      <c r="T424" s="3">
        <v>0</v>
      </c>
      <c r="U424" s="3">
        <v>4</v>
      </c>
      <c r="V424" s="3" t="s">
        <v>2129</v>
      </c>
      <c r="W424" s="3">
        <v>1</v>
      </c>
      <c r="X424" s="3">
        <v>3</v>
      </c>
      <c r="Y424" s="3">
        <v>3</v>
      </c>
      <c r="Z424" s="3">
        <v>2</v>
      </c>
      <c r="AA424" s="3">
        <v>0</v>
      </c>
      <c r="AB424" s="3">
        <v>0</v>
      </c>
      <c r="AC424" s="3">
        <v>12</v>
      </c>
      <c r="AD424" s="3" t="s">
        <v>0</v>
      </c>
      <c r="AE424" s="3" t="s">
        <v>57</v>
      </c>
    </row>
    <row r="425" spans="1:31" ht="25.5" x14ac:dyDescent="0.2">
      <c r="A425" s="4" t="str">
        <f>HYPERLINK("http://www.patentics.cn/invokexml.do?sf=ShowPatent&amp;spn=CN203533831&amp;sv=11446226e9132ef0e9df9925c1a8c6f7","CN203533831")</f>
        <v>CN203533831</v>
      </c>
      <c r="B425" s="2" t="s">
        <v>2133</v>
      </c>
      <c r="C425" s="2" t="s">
        <v>2134</v>
      </c>
      <c r="D425" s="2" t="s">
        <v>35</v>
      </c>
      <c r="E425" s="2" t="s">
        <v>36</v>
      </c>
      <c r="F425" s="2" t="s">
        <v>654</v>
      </c>
      <c r="G425" s="2" t="s">
        <v>654</v>
      </c>
      <c r="H425" s="2" t="s">
        <v>0</v>
      </c>
      <c r="I425" s="2" t="s">
        <v>2135</v>
      </c>
      <c r="J425" s="2" t="s">
        <v>1650</v>
      </c>
      <c r="K425" s="2" t="s">
        <v>41</v>
      </c>
      <c r="L425" s="2" t="s">
        <v>453</v>
      </c>
      <c r="M425" s="2">
        <v>10</v>
      </c>
      <c r="N425" s="2">
        <v>18</v>
      </c>
      <c r="O425" s="2" t="s">
        <v>55</v>
      </c>
      <c r="P425" s="2" t="s">
        <v>44</v>
      </c>
      <c r="Q425" s="2">
        <v>1</v>
      </c>
      <c r="R425" s="2">
        <v>0</v>
      </c>
      <c r="S425" s="2">
        <v>1</v>
      </c>
      <c r="T425" s="2">
        <v>1</v>
      </c>
      <c r="U425" s="2">
        <v>0</v>
      </c>
      <c r="V425" s="2" t="s">
        <v>45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 t="s">
        <v>0</v>
      </c>
      <c r="AD425" s="2">
        <v>1</v>
      </c>
      <c r="AE425" s="2" t="s">
        <v>46</v>
      </c>
    </row>
    <row r="426" spans="1:31" ht="76.5" x14ac:dyDescent="0.2">
      <c r="A426" s="5" t="str">
        <f>HYPERLINK("http://www.patentics.cn/invokexml.do?sf=ShowPatent&amp;spn=CN101344282&amp;sv=3c750291d3458233e14de9f1b9e7760c","CN101344282")</f>
        <v>CN101344282</v>
      </c>
      <c r="B426" s="3" t="s">
        <v>2054</v>
      </c>
      <c r="C426" s="3" t="s">
        <v>258</v>
      </c>
      <c r="D426" s="3" t="s">
        <v>49</v>
      </c>
      <c r="E426" s="3" t="s">
        <v>50</v>
      </c>
      <c r="F426" s="3" t="s">
        <v>263</v>
      </c>
      <c r="G426" s="3" t="s">
        <v>264</v>
      </c>
      <c r="H426" s="3" t="s">
        <v>2055</v>
      </c>
      <c r="I426" s="3" t="s">
        <v>2055</v>
      </c>
      <c r="J426" s="3" t="s">
        <v>1302</v>
      </c>
      <c r="K426" s="3" t="s">
        <v>41</v>
      </c>
      <c r="L426" s="3" t="s">
        <v>42</v>
      </c>
      <c r="M426" s="3">
        <v>8</v>
      </c>
      <c r="N426" s="3">
        <v>35</v>
      </c>
      <c r="O426" s="3" t="s">
        <v>75</v>
      </c>
      <c r="P426" s="3" t="s">
        <v>44</v>
      </c>
      <c r="Q426" s="3">
        <v>1</v>
      </c>
      <c r="R426" s="3">
        <v>0</v>
      </c>
      <c r="S426" s="3">
        <v>1</v>
      </c>
      <c r="T426" s="3">
        <v>1</v>
      </c>
      <c r="U426" s="3">
        <v>3</v>
      </c>
      <c r="V426" s="3" t="s">
        <v>698</v>
      </c>
      <c r="W426" s="3">
        <v>0</v>
      </c>
      <c r="X426" s="3">
        <v>3</v>
      </c>
      <c r="Y426" s="3">
        <v>1</v>
      </c>
      <c r="Z426" s="3">
        <v>1</v>
      </c>
      <c r="AA426" s="3">
        <v>1</v>
      </c>
      <c r="AB426" s="3">
        <v>1</v>
      </c>
      <c r="AC426" s="3">
        <v>12</v>
      </c>
      <c r="AD426" s="3" t="s">
        <v>0</v>
      </c>
      <c r="AE426" s="3" t="s">
        <v>46</v>
      </c>
    </row>
    <row r="427" spans="1:31" ht="38.25" x14ac:dyDescent="0.2">
      <c r="A427" s="4" t="str">
        <f>HYPERLINK("http://www.patentics.cn/invokexml.do?sf=ShowPatent&amp;spn=CN203375694&amp;sv=7995043c44f7fcba2650302a37131054","CN203375694")</f>
        <v>CN203375694</v>
      </c>
      <c r="B427" s="2" t="s">
        <v>2136</v>
      </c>
      <c r="C427" s="2" t="s">
        <v>2137</v>
      </c>
      <c r="D427" s="2" t="s">
        <v>623</v>
      </c>
      <c r="E427" s="2" t="s">
        <v>624</v>
      </c>
      <c r="F427" s="2" t="s">
        <v>2138</v>
      </c>
      <c r="G427" s="2" t="s">
        <v>2139</v>
      </c>
      <c r="H427" s="2" t="s">
        <v>0</v>
      </c>
      <c r="I427" s="2" t="s">
        <v>2140</v>
      </c>
      <c r="J427" s="2" t="s">
        <v>1663</v>
      </c>
      <c r="K427" s="2" t="s">
        <v>1608</v>
      </c>
      <c r="L427" s="2" t="s">
        <v>1679</v>
      </c>
      <c r="M427" s="2">
        <v>9</v>
      </c>
      <c r="N427" s="2">
        <v>7</v>
      </c>
      <c r="O427" s="2" t="s">
        <v>55</v>
      </c>
      <c r="P427" s="2" t="s">
        <v>44</v>
      </c>
      <c r="Q427" s="2">
        <v>1</v>
      </c>
      <c r="R427" s="2">
        <v>0</v>
      </c>
      <c r="S427" s="2">
        <v>1</v>
      </c>
      <c r="T427" s="2">
        <v>1</v>
      </c>
      <c r="U427" s="2">
        <v>2</v>
      </c>
      <c r="V427" s="2" t="s">
        <v>797</v>
      </c>
      <c r="W427" s="2">
        <v>2</v>
      </c>
      <c r="X427" s="2">
        <v>0</v>
      </c>
      <c r="Y427" s="2">
        <v>1</v>
      </c>
      <c r="Z427" s="2">
        <v>1</v>
      </c>
      <c r="AA427" s="2">
        <v>0</v>
      </c>
      <c r="AB427" s="2">
        <v>0</v>
      </c>
      <c r="AC427" s="2" t="s">
        <v>0</v>
      </c>
      <c r="AD427" s="2">
        <v>1</v>
      </c>
      <c r="AE427" s="2" t="s">
        <v>46</v>
      </c>
    </row>
    <row r="428" spans="1:31" ht="25.5" x14ac:dyDescent="0.2">
      <c r="A428" s="5" t="str">
        <f>HYPERLINK("http://www.patentics.cn/invokexml.do?sf=ShowPatent&amp;spn=CN201973884&amp;sv=2f09b8a0d70df1ad9b4869ca9912a3b9","CN201973884")</f>
        <v>CN201973884</v>
      </c>
      <c r="B428" s="3" t="s">
        <v>2141</v>
      </c>
      <c r="C428" s="3" t="s">
        <v>2142</v>
      </c>
      <c r="D428" s="3" t="s">
        <v>49</v>
      </c>
      <c r="E428" s="3" t="s">
        <v>50</v>
      </c>
      <c r="F428" s="3" t="s">
        <v>2143</v>
      </c>
      <c r="G428" s="3" t="s">
        <v>2143</v>
      </c>
      <c r="H428" s="3" t="s">
        <v>0</v>
      </c>
      <c r="I428" s="3" t="s">
        <v>2144</v>
      </c>
      <c r="J428" s="3" t="s">
        <v>231</v>
      </c>
      <c r="K428" s="3" t="s">
        <v>1608</v>
      </c>
      <c r="L428" s="3" t="s">
        <v>1679</v>
      </c>
      <c r="M428" s="3">
        <v>10</v>
      </c>
      <c r="N428" s="3">
        <v>11</v>
      </c>
      <c r="O428" s="3" t="s">
        <v>55</v>
      </c>
      <c r="P428" s="3" t="s">
        <v>44</v>
      </c>
      <c r="Q428" s="3">
        <v>0</v>
      </c>
      <c r="R428" s="3">
        <v>0</v>
      </c>
      <c r="S428" s="3">
        <v>0</v>
      </c>
      <c r="T428" s="3">
        <v>0</v>
      </c>
      <c r="U428" s="3">
        <v>2</v>
      </c>
      <c r="V428" s="3" t="s">
        <v>2145</v>
      </c>
      <c r="W428" s="3">
        <v>0</v>
      </c>
      <c r="X428" s="3">
        <v>2</v>
      </c>
      <c r="Y428" s="3">
        <v>2</v>
      </c>
      <c r="Z428" s="3">
        <v>1</v>
      </c>
      <c r="AA428" s="3">
        <v>0</v>
      </c>
      <c r="AB428" s="3">
        <v>0</v>
      </c>
      <c r="AC428" s="3">
        <v>12</v>
      </c>
      <c r="AD428" s="3" t="s">
        <v>0</v>
      </c>
      <c r="AE428" s="3" t="s">
        <v>46</v>
      </c>
    </row>
    <row r="429" spans="1:31" ht="38.25" x14ac:dyDescent="0.2">
      <c r="A429" s="4" t="str">
        <f>HYPERLINK("http://www.patentics.cn/invokexml.do?sf=ShowPatent&amp;spn=CN103234257&amp;sv=458b22d3fe3e1e502be8fc6918e8f58c","CN103234257")</f>
        <v>CN103234257</v>
      </c>
      <c r="B429" s="2" t="s">
        <v>699</v>
      </c>
      <c r="C429" s="2" t="s">
        <v>700</v>
      </c>
      <c r="D429" s="2" t="s">
        <v>35</v>
      </c>
      <c r="E429" s="2" t="s">
        <v>36</v>
      </c>
      <c r="F429" s="2" t="s">
        <v>701</v>
      </c>
      <c r="G429" s="2" t="s">
        <v>702</v>
      </c>
      <c r="H429" s="2" t="s">
        <v>0</v>
      </c>
      <c r="I429" s="2" t="s">
        <v>383</v>
      </c>
      <c r="J429" s="2" t="s">
        <v>2146</v>
      </c>
      <c r="K429" s="2" t="s">
        <v>41</v>
      </c>
      <c r="L429" s="2" t="s">
        <v>84</v>
      </c>
      <c r="M429" s="2">
        <v>10</v>
      </c>
      <c r="N429" s="2">
        <v>19</v>
      </c>
      <c r="O429" s="2" t="s">
        <v>75</v>
      </c>
      <c r="P429" s="2" t="s">
        <v>44</v>
      </c>
      <c r="Q429" s="2">
        <v>1</v>
      </c>
      <c r="R429" s="2">
        <v>0</v>
      </c>
      <c r="S429" s="2">
        <v>1</v>
      </c>
      <c r="T429" s="2">
        <v>1</v>
      </c>
      <c r="U429" s="2">
        <v>1</v>
      </c>
      <c r="V429" s="2" t="s">
        <v>339</v>
      </c>
      <c r="W429" s="2">
        <v>1</v>
      </c>
      <c r="X429" s="2">
        <v>0</v>
      </c>
      <c r="Y429" s="2">
        <v>1</v>
      </c>
      <c r="Z429" s="2">
        <v>1</v>
      </c>
      <c r="AA429" s="2">
        <v>0</v>
      </c>
      <c r="AB429" s="2">
        <v>0</v>
      </c>
      <c r="AC429" s="2" t="s">
        <v>0</v>
      </c>
      <c r="AD429" s="2">
        <v>1</v>
      </c>
      <c r="AE429" s="2" t="s">
        <v>46</v>
      </c>
    </row>
    <row r="430" spans="1:31" ht="51" x14ac:dyDescent="0.2">
      <c r="A430" s="5" t="str">
        <f>HYPERLINK("http://www.patentics.cn/invokexml.do?sf=ShowPatent&amp;spn=CN102032642&amp;sv=108a1d63b635c81e249c34e28464dd95","CN102032642")</f>
        <v>CN102032642</v>
      </c>
      <c r="B430" s="3" t="s">
        <v>704</v>
      </c>
      <c r="C430" s="3" t="s">
        <v>705</v>
      </c>
      <c r="D430" s="3" t="s">
        <v>49</v>
      </c>
      <c r="E430" s="3" t="s">
        <v>50</v>
      </c>
      <c r="F430" s="3" t="s">
        <v>706</v>
      </c>
      <c r="G430" s="3" t="s">
        <v>506</v>
      </c>
      <c r="H430" s="3" t="s">
        <v>707</v>
      </c>
      <c r="I430" s="3" t="s">
        <v>707</v>
      </c>
      <c r="J430" s="3" t="s">
        <v>708</v>
      </c>
      <c r="K430" s="3" t="s">
        <v>41</v>
      </c>
      <c r="L430" s="3" t="s">
        <v>84</v>
      </c>
      <c r="M430" s="3">
        <v>9</v>
      </c>
      <c r="N430" s="3">
        <v>19</v>
      </c>
      <c r="O430" s="3" t="s">
        <v>75</v>
      </c>
      <c r="P430" s="3" t="s">
        <v>44</v>
      </c>
      <c r="Q430" s="3">
        <v>0</v>
      </c>
      <c r="R430" s="3">
        <v>0</v>
      </c>
      <c r="S430" s="3">
        <v>0</v>
      </c>
      <c r="T430" s="3">
        <v>0</v>
      </c>
      <c r="U430" s="3">
        <v>5</v>
      </c>
      <c r="V430" s="3" t="s">
        <v>709</v>
      </c>
      <c r="W430" s="3">
        <v>1</v>
      </c>
      <c r="X430" s="3">
        <v>4</v>
      </c>
      <c r="Y430" s="3">
        <v>2</v>
      </c>
      <c r="Z430" s="3">
        <v>1</v>
      </c>
      <c r="AA430" s="3">
        <v>1</v>
      </c>
      <c r="AB430" s="3">
        <v>1</v>
      </c>
      <c r="AC430" s="3">
        <v>12</v>
      </c>
      <c r="AD430" s="3" t="s">
        <v>0</v>
      </c>
      <c r="AE430" s="3" t="s">
        <v>46</v>
      </c>
    </row>
    <row r="431" spans="1:31" ht="51" x14ac:dyDescent="0.2">
      <c r="A431" s="4" t="str">
        <f>HYPERLINK("http://www.patentics.cn/invokexml.do?sf=ShowPatent&amp;spn=CN202928430&amp;sv=5b99ef533821bcbfb0802fdc51ae908f","CN202928430")</f>
        <v>CN202928430</v>
      </c>
      <c r="B431" s="2" t="s">
        <v>2147</v>
      </c>
      <c r="C431" s="2" t="s">
        <v>2148</v>
      </c>
      <c r="D431" s="2" t="s">
        <v>246</v>
      </c>
      <c r="E431" s="2" t="s">
        <v>36</v>
      </c>
      <c r="F431" s="2" t="s">
        <v>2149</v>
      </c>
      <c r="G431" s="2" t="s">
        <v>2150</v>
      </c>
      <c r="H431" s="2" t="s">
        <v>0</v>
      </c>
      <c r="I431" s="2" t="s">
        <v>2151</v>
      </c>
      <c r="J431" s="2" t="s">
        <v>1742</v>
      </c>
      <c r="K431" s="2" t="s">
        <v>1017</v>
      </c>
      <c r="L431" s="2" t="s">
        <v>2152</v>
      </c>
      <c r="M431" s="2">
        <v>11</v>
      </c>
      <c r="N431" s="2">
        <v>13</v>
      </c>
      <c r="O431" s="2" t="s">
        <v>55</v>
      </c>
      <c r="P431" s="2" t="s">
        <v>44</v>
      </c>
      <c r="Q431" s="2">
        <v>1</v>
      </c>
      <c r="R431" s="2">
        <v>0</v>
      </c>
      <c r="S431" s="2">
        <v>1</v>
      </c>
      <c r="T431" s="2">
        <v>1</v>
      </c>
      <c r="U431" s="2">
        <v>0</v>
      </c>
      <c r="V431" s="2" t="s">
        <v>45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 t="s">
        <v>0</v>
      </c>
      <c r="AD431" s="2">
        <v>1</v>
      </c>
      <c r="AE431" s="2" t="s">
        <v>46</v>
      </c>
    </row>
    <row r="432" spans="1:31" ht="63.75" x14ac:dyDescent="0.2">
      <c r="A432" s="5" t="str">
        <f>HYPERLINK("http://www.patentics.cn/invokexml.do?sf=ShowPatent&amp;spn=CN202432614&amp;sv=453606aeaeea58601ecacbfefd5f5e7b","CN202432614")</f>
        <v>CN202432614</v>
      </c>
      <c r="B432" s="3" t="s">
        <v>2153</v>
      </c>
      <c r="C432" s="3" t="s">
        <v>2154</v>
      </c>
      <c r="D432" s="3" t="s">
        <v>49</v>
      </c>
      <c r="E432" s="3" t="s">
        <v>50</v>
      </c>
      <c r="F432" s="3" t="s">
        <v>2155</v>
      </c>
      <c r="G432" s="3" t="s">
        <v>52</v>
      </c>
      <c r="H432" s="3" t="s">
        <v>0</v>
      </c>
      <c r="I432" s="3" t="s">
        <v>2094</v>
      </c>
      <c r="J432" s="3" t="s">
        <v>1805</v>
      </c>
      <c r="K432" s="3" t="s">
        <v>41</v>
      </c>
      <c r="L432" s="3" t="s">
        <v>42</v>
      </c>
      <c r="M432" s="3">
        <v>9</v>
      </c>
      <c r="N432" s="3">
        <v>14</v>
      </c>
      <c r="O432" s="3" t="s">
        <v>55</v>
      </c>
      <c r="P432" s="3" t="s">
        <v>44</v>
      </c>
      <c r="Q432" s="3">
        <v>0</v>
      </c>
      <c r="R432" s="3">
        <v>0</v>
      </c>
      <c r="S432" s="3">
        <v>0</v>
      </c>
      <c r="T432" s="3">
        <v>0</v>
      </c>
      <c r="U432" s="3">
        <v>1</v>
      </c>
      <c r="V432" s="3" t="s">
        <v>553</v>
      </c>
      <c r="W432" s="3">
        <v>0</v>
      </c>
      <c r="X432" s="3">
        <v>1</v>
      </c>
      <c r="Y432" s="3">
        <v>1</v>
      </c>
      <c r="Z432" s="3">
        <v>1</v>
      </c>
      <c r="AA432" s="3">
        <v>0</v>
      </c>
      <c r="AB432" s="3">
        <v>0</v>
      </c>
      <c r="AC432" s="3">
        <v>12</v>
      </c>
      <c r="AD432" s="3" t="s">
        <v>0</v>
      </c>
      <c r="AE432" s="3" t="s">
        <v>46</v>
      </c>
    </row>
    <row r="433" spans="1:31" ht="25.5" x14ac:dyDescent="0.2">
      <c r="A433" s="4" t="str">
        <f>HYPERLINK("http://www.patentics.cn/invokexml.do?sf=ShowPatent&amp;spn=CN202811440&amp;sv=382ab9678e185e6d45272746e6c2282d","CN202811440")</f>
        <v>CN202811440</v>
      </c>
      <c r="B433" s="2" t="s">
        <v>2156</v>
      </c>
      <c r="C433" s="2" t="s">
        <v>2157</v>
      </c>
      <c r="D433" s="2" t="s">
        <v>886</v>
      </c>
      <c r="E433" s="2" t="s">
        <v>36</v>
      </c>
      <c r="F433" s="2" t="s">
        <v>2158</v>
      </c>
      <c r="G433" s="2" t="s">
        <v>2159</v>
      </c>
      <c r="H433" s="2" t="s">
        <v>0</v>
      </c>
      <c r="I433" s="2" t="s">
        <v>173</v>
      </c>
      <c r="J433" s="2" t="s">
        <v>168</v>
      </c>
      <c r="K433" s="2" t="s">
        <v>789</v>
      </c>
      <c r="L433" s="2" t="s">
        <v>790</v>
      </c>
      <c r="M433" s="2">
        <v>3</v>
      </c>
      <c r="N433" s="2">
        <v>21</v>
      </c>
      <c r="O433" s="2" t="s">
        <v>55</v>
      </c>
      <c r="P433" s="2" t="s">
        <v>44</v>
      </c>
      <c r="Q433" s="2">
        <v>1</v>
      </c>
      <c r="R433" s="2">
        <v>0</v>
      </c>
      <c r="S433" s="2">
        <v>1</v>
      </c>
      <c r="T433" s="2">
        <v>1</v>
      </c>
      <c r="U433" s="2">
        <v>0</v>
      </c>
      <c r="V433" s="2" t="s">
        <v>45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 t="s">
        <v>0</v>
      </c>
      <c r="AD433" s="2">
        <v>1</v>
      </c>
      <c r="AE433" s="2" t="s">
        <v>46</v>
      </c>
    </row>
    <row r="434" spans="1:31" ht="51" x14ac:dyDescent="0.2">
      <c r="A434" s="5" t="str">
        <f>HYPERLINK("http://www.patentics.cn/invokexml.do?sf=ShowPatent&amp;spn=CN201982339&amp;sv=7f32aed302ac42bb4b7e51e1623362aa","CN201982339")</f>
        <v>CN201982339</v>
      </c>
      <c r="B434" s="3" t="s">
        <v>2160</v>
      </c>
      <c r="C434" s="3" t="s">
        <v>2161</v>
      </c>
      <c r="D434" s="3" t="s">
        <v>2162</v>
      </c>
      <c r="E434" s="3" t="s">
        <v>190</v>
      </c>
      <c r="F434" s="3" t="s">
        <v>2163</v>
      </c>
      <c r="G434" s="3" t="s">
        <v>2164</v>
      </c>
      <c r="H434" s="3" t="s">
        <v>0</v>
      </c>
      <c r="I434" s="3" t="s">
        <v>1247</v>
      </c>
      <c r="J434" s="3" t="s">
        <v>2165</v>
      </c>
      <c r="K434" s="3" t="s">
        <v>789</v>
      </c>
      <c r="L434" s="3" t="s">
        <v>2166</v>
      </c>
      <c r="M434" s="3">
        <v>5</v>
      </c>
      <c r="N434" s="3">
        <v>23</v>
      </c>
      <c r="O434" s="3" t="s">
        <v>55</v>
      </c>
      <c r="P434" s="3" t="s">
        <v>44</v>
      </c>
      <c r="Q434" s="3">
        <v>0</v>
      </c>
      <c r="R434" s="3">
        <v>0</v>
      </c>
      <c r="S434" s="3">
        <v>0</v>
      </c>
      <c r="T434" s="3">
        <v>0</v>
      </c>
      <c r="U434" s="3">
        <v>1</v>
      </c>
      <c r="V434" s="3" t="s">
        <v>553</v>
      </c>
      <c r="W434" s="3">
        <v>0</v>
      </c>
      <c r="X434" s="3">
        <v>1</v>
      </c>
      <c r="Y434" s="3">
        <v>1</v>
      </c>
      <c r="Z434" s="3">
        <v>1</v>
      </c>
      <c r="AA434" s="3">
        <v>0</v>
      </c>
      <c r="AB434" s="3">
        <v>0</v>
      </c>
      <c r="AC434" s="3">
        <v>12</v>
      </c>
      <c r="AD434" s="3" t="s">
        <v>0</v>
      </c>
      <c r="AE434" s="3" t="s">
        <v>46</v>
      </c>
    </row>
    <row r="435" spans="1:31" ht="25.5" x14ac:dyDescent="0.2">
      <c r="A435" s="4" t="str">
        <f>HYPERLINK("http://www.patentics.cn/invokexml.do?sf=ShowPatent&amp;spn=CN202728964&amp;sv=040dd0a1bf1161d9929d156567b41722","CN202728964")</f>
        <v>CN202728964</v>
      </c>
      <c r="B435" s="2" t="s">
        <v>2167</v>
      </c>
      <c r="C435" s="2" t="s">
        <v>2168</v>
      </c>
      <c r="D435" s="2" t="s">
        <v>415</v>
      </c>
      <c r="E435" s="2" t="s">
        <v>36</v>
      </c>
      <c r="F435" s="2" t="s">
        <v>2169</v>
      </c>
      <c r="G435" s="2" t="s">
        <v>2170</v>
      </c>
      <c r="H435" s="2" t="s">
        <v>0</v>
      </c>
      <c r="I435" s="2" t="s">
        <v>2171</v>
      </c>
      <c r="J435" s="2" t="s">
        <v>1115</v>
      </c>
      <c r="K435" s="2" t="s">
        <v>628</v>
      </c>
      <c r="L435" s="2" t="s">
        <v>651</v>
      </c>
      <c r="M435" s="2">
        <v>13</v>
      </c>
      <c r="N435" s="2">
        <v>13</v>
      </c>
      <c r="O435" s="2" t="s">
        <v>55</v>
      </c>
      <c r="P435" s="2" t="s">
        <v>44</v>
      </c>
      <c r="Q435" s="2">
        <v>2</v>
      </c>
      <c r="R435" s="2">
        <v>0</v>
      </c>
      <c r="S435" s="2">
        <v>2</v>
      </c>
      <c r="T435" s="2">
        <v>2</v>
      </c>
      <c r="U435" s="2">
        <v>1</v>
      </c>
      <c r="V435" s="2" t="s">
        <v>224</v>
      </c>
      <c r="W435" s="2">
        <v>0</v>
      </c>
      <c r="X435" s="2">
        <v>1</v>
      </c>
      <c r="Y435" s="2">
        <v>1</v>
      </c>
      <c r="Z435" s="2">
        <v>1</v>
      </c>
      <c r="AA435" s="2">
        <v>0</v>
      </c>
      <c r="AB435" s="2">
        <v>0</v>
      </c>
      <c r="AC435" s="2" t="s">
        <v>0</v>
      </c>
      <c r="AD435" s="2">
        <v>1</v>
      </c>
      <c r="AE435" s="2" t="s">
        <v>46</v>
      </c>
    </row>
    <row r="436" spans="1:31" ht="38.25" x14ac:dyDescent="0.2">
      <c r="A436" s="5" t="str">
        <f>HYPERLINK("http://www.patentics.cn/invokexml.do?sf=ShowPatent&amp;spn=CN201849799&amp;sv=38d3d1d87047a58c9dfc3128d6649c86","CN201849799")</f>
        <v>CN201849799</v>
      </c>
      <c r="B436" s="3" t="s">
        <v>2172</v>
      </c>
      <c r="C436" s="3" t="s">
        <v>2173</v>
      </c>
      <c r="D436" s="3" t="s">
        <v>49</v>
      </c>
      <c r="E436" s="3" t="s">
        <v>50</v>
      </c>
      <c r="F436" s="3" t="s">
        <v>2174</v>
      </c>
      <c r="G436" s="3" t="s">
        <v>2175</v>
      </c>
      <c r="H436" s="3" t="s">
        <v>0</v>
      </c>
      <c r="I436" s="3" t="s">
        <v>2176</v>
      </c>
      <c r="J436" s="3" t="s">
        <v>882</v>
      </c>
      <c r="K436" s="3" t="s">
        <v>628</v>
      </c>
      <c r="L436" s="3" t="s">
        <v>2177</v>
      </c>
      <c r="M436" s="3">
        <v>10</v>
      </c>
      <c r="N436" s="3">
        <v>8</v>
      </c>
      <c r="O436" s="3" t="s">
        <v>55</v>
      </c>
      <c r="P436" s="3" t="s">
        <v>44</v>
      </c>
      <c r="Q436" s="3">
        <v>0</v>
      </c>
      <c r="R436" s="3">
        <v>0</v>
      </c>
      <c r="S436" s="3">
        <v>0</v>
      </c>
      <c r="T436" s="3">
        <v>0</v>
      </c>
      <c r="U436" s="3">
        <v>2</v>
      </c>
      <c r="V436" s="3" t="s">
        <v>644</v>
      </c>
      <c r="W436" s="3">
        <v>1</v>
      </c>
      <c r="X436" s="3">
        <v>1</v>
      </c>
      <c r="Y436" s="3">
        <v>2</v>
      </c>
      <c r="Z436" s="3">
        <v>1</v>
      </c>
      <c r="AA436" s="3">
        <v>0</v>
      </c>
      <c r="AB436" s="3">
        <v>0</v>
      </c>
      <c r="AC436" s="3">
        <v>12</v>
      </c>
      <c r="AD436" s="3" t="s">
        <v>0</v>
      </c>
      <c r="AE436" s="3" t="s">
        <v>46</v>
      </c>
    </row>
    <row r="437" spans="1:31" ht="38.25" x14ac:dyDescent="0.2">
      <c r="A437" s="4" t="str">
        <f>HYPERLINK("http://www.patentics.cn/invokexml.do?sf=ShowPatent&amp;spn=CN202734059&amp;sv=cd7484a2feb5c1975016ce959c77a609","CN202734059")</f>
        <v>CN202734059</v>
      </c>
      <c r="B437" s="2" t="s">
        <v>2178</v>
      </c>
      <c r="C437" s="2" t="s">
        <v>2179</v>
      </c>
      <c r="D437" s="2" t="s">
        <v>35</v>
      </c>
      <c r="E437" s="2" t="s">
        <v>36</v>
      </c>
      <c r="F437" s="2" t="s">
        <v>2180</v>
      </c>
      <c r="G437" s="2" t="s">
        <v>2181</v>
      </c>
      <c r="H437" s="2" t="s">
        <v>0</v>
      </c>
      <c r="I437" s="2" t="s">
        <v>2182</v>
      </c>
      <c r="J437" s="2" t="s">
        <v>1115</v>
      </c>
      <c r="K437" s="2" t="s">
        <v>41</v>
      </c>
      <c r="L437" s="2" t="s">
        <v>42</v>
      </c>
      <c r="M437" s="2">
        <v>10</v>
      </c>
      <c r="N437" s="2">
        <v>11</v>
      </c>
      <c r="O437" s="2" t="s">
        <v>55</v>
      </c>
      <c r="P437" s="2" t="s">
        <v>44</v>
      </c>
      <c r="Q437" s="2">
        <v>1</v>
      </c>
      <c r="R437" s="2">
        <v>0</v>
      </c>
      <c r="S437" s="2">
        <v>1</v>
      </c>
      <c r="T437" s="2">
        <v>1</v>
      </c>
      <c r="U437" s="2">
        <v>0</v>
      </c>
      <c r="V437" s="2" t="s">
        <v>45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 t="s">
        <v>0</v>
      </c>
      <c r="AD437" s="2">
        <v>1</v>
      </c>
      <c r="AE437" s="2" t="s">
        <v>46</v>
      </c>
    </row>
    <row r="438" spans="1:31" ht="25.5" x14ac:dyDescent="0.2">
      <c r="A438" s="5" t="str">
        <f>HYPERLINK("http://www.patentics.cn/invokexml.do?sf=ShowPatent&amp;spn=CN202002277&amp;sv=0345093cb9df32876c9f1069c7e85023","CN202002277")</f>
        <v>CN202002277</v>
      </c>
      <c r="B438" s="3" t="s">
        <v>2183</v>
      </c>
      <c r="C438" s="3" t="s">
        <v>462</v>
      </c>
      <c r="D438" s="3" t="s">
        <v>49</v>
      </c>
      <c r="E438" s="3" t="s">
        <v>50</v>
      </c>
      <c r="F438" s="3" t="s">
        <v>2184</v>
      </c>
      <c r="G438" s="3" t="s">
        <v>336</v>
      </c>
      <c r="H438" s="3" t="s">
        <v>0</v>
      </c>
      <c r="I438" s="3" t="s">
        <v>2185</v>
      </c>
      <c r="J438" s="3" t="s">
        <v>1186</v>
      </c>
      <c r="K438" s="3" t="s">
        <v>41</v>
      </c>
      <c r="L438" s="3" t="s">
        <v>69</v>
      </c>
      <c r="M438" s="3">
        <v>11</v>
      </c>
      <c r="N438" s="3">
        <v>7</v>
      </c>
      <c r="O438" s="3" t="s">
        <v>55</v>
      </c>
      <c r="P438" s="3" t="s">
        <v>44</v>
      </c>
      <c r="Q438" s="3">
        <v>0</v>
      </c>
      <c r="R438" s="3">
        <v>0</v>
      </c>
      <c r="S438" s="3">
        <v>0</v>
      </c>
      <c r="T438" s="3">
        <v>0</v>
      </c>
      <c r="U438" s="3">
        <v>2</v>
      </c>
      <c r="V438" s="3" t="s">
        <v>2145</v>
      </c>
      <c r="W438" s="3">
        <v>1</v>
      </c>
      <c r="X438" s="3">
        <v>1</v>
      </c>
      <c r="Y438" s="3">
        <v>2</v>
      </c>
      <c r="Z438" s="3">
        <v>1</v>
      </c>
      <c r="AA438" s="3">
        <v>0</v>
      </c>
      <c r="AB438" s="3">
        <v>0</v>
      </c>
      <c r="AC438" s="3">
        <v>12</v>
      </c>
      <c r="AD438" s="3" t="s">
        <v>0</v>
      </c>
      <c r="AE438" s="3" t="s">
        <v>57</v>
      </c>
    </row>
    <row r="439" spans="1:31" ht="51" x14ac:dyDescent="0.2">
      <c r="A439" s="4" t="str">
        <f>HYPERLINK("http://www.patentics.cn/invokexml.do?sf=ShowPatent&amp;spn=CN202613856&amp;sv=66d8865f94f77cba86e679b3e5b96f50","CN202613856")</f>
        <v>CN202613856</v>
      </c>
      <c r="B439" s="2" t="s">
        <v>2186</v>
      </c>
      <c r="C439" s="2" t="s">
        <v>2187</v>
      </c>
      <c r="D439" s="2" t="s">
        <v>2188</v>
      </c>
      <c r="E439" s="2" t="s">
        <v>36</v>
      </c>
      <c r="F439" s="2" t="s">
        <v>2189</v>
      </c>
      <c r="G439" s="2" t="s">
        <v>1517</v>
      </c>
      <c r="H439" s="2" t="s">
        <v>0</v>
      </c>
      <c r="I439" s="2" t="s">
        <v>1953</v>
      </c>
      <c r="J439" s="2" t="s">
        <v>249</v>
      </c>
      <c r="K439" s="2" t="s">
        <v>347</v>
      </c>
      <c r="L439" s="2" t="s">
        <v>2011</v>
      </c>
      <c r="M439" s="2">
        <v>10</v>
      </c>
      <c r="N439" s="2">
        <v>12</v>
      </c>
      <c r="O439" s="2" t="s">
        <v>55</v>
      </c>
      <c r="P439" s="2" t="s">
        <v>44</v>
      </c>
      <c r="Q439" s="2">
        <v>1</v>
      </c>
      <c r="R439" s="2">
        <v>0</v>
      </c>
      <c r="S439" s="2">
        <v>1</v>
      </c>
      <c r="T439" s="2">
        <v>1</v>
      </c>
      <c r="U439" s="2">
        <v>0</v>
      </c>
      <c r="V439" s="2" t="s">
        <v>45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 t="s">
        <v>0</v>
      </c>
      <c r="AD439" s="2">
        <v>1</v>
      </c>
      <c r="AE439" s="2" t="s">
        <v>46</v>
      </c>
    </row>
    <row r="440" spans="1:31" ht="25.5" x14ac:dyDescent="0.2">
      <c r="A440" s="5" t="str">
        <f>HYPERLINK("http://www.patentics.cn/invokexml.do?sf=ShowPatent&amp;spn=CN202101479&amp;sv=6a89d6b86bd897062e9369540fd1f819","CN202101479")</f>
        <v>CN202101479</v>
      </c>
      <c r="B440" s="3" t="s">
        <v>2190</v>
      </c>
      <c r="C440" s="3" t="s">
        <v>2191</v>
      </c>
      <c r="D440" s="3" t="s">
        <v>49</v>
      </c>
      <c r="E440" s="3" t="s">
        <v>50</v>
      </c>
      <c r="F440" s="3" t="s">
        <v>2192</v>
      </c>
      <c r="G440" s="3" t="s">
        <v>2192</v>
      </c>
      <c r="H440" s="3" t="s">
        <v>0</v>
      </c>
      <c r="I440" s="3" t="s">
        <v>2193</v>
      </c>
      <c r="J440" s="3" t="s">
        <v>2194</v>
      </c>
      <c r="K440" s="3" t="s">
        <v>347</v>
      </c>
      <c r="L440" s="3" t="s">
        <v>2011</v>
      </c>
      <c r="M440" s="3">
        <v>9</v>
      </c>
      <c r="N440" s="3">
        <v>11</v>
      </c>
      <c r="O440" s="3" t="s">
        <v>55</v>
      </c>
      <c r="P440" s="3" t="s">
        <v>44</v>
      </c>
      <c r="Q440" s="3">
        <v>0</v>
      </c>
      <c r="R440" s="3">
        <v>0</v>
      </c>
      <c r="S440" s="3">
        <v>0</v>
      </c>
      <c r="T440" s="3">
        <v>0</v>
      </c>
      <c r="U440" s="3">
        <v>2</v>
      </c>
      <c r="V440" s="3" t="s">
        <v>2195</v>
      </c>
      <c r="W440" s="3">
        <v>1</v>
      </c>
      <c r="X440" s="3">
        <v>1</v>
      </c>
      <c r="Y440" s="3">
        <v>2</v>
      </c>
      <c r="Z440" s="3">
        <v>1</v>
      </c>
      <c r="AA440" s="3">
        <v>0</v>
      </c>
      <c r="AB440" s="3">
        <v>0</v>
      </c>
      <c r="AC440" s="3">
        <v>12</v>
      </c>
      <c r="AD440" s="3" t="s">
        <v>0</v>
      </c>
      <c r="AE440" s="3" t="s">
        <v>57</v>
      </c>
    </row>
    <row r="441" spans="1:31" ht="51" x14ac:dyDescent="0.2">
      <c r="A441" s="4" t="str">
        <f>HYPERLINK("http://www.patentics.cn/invokexml.do?sf=ShowPatent&amp;spn=CN102778016&amp;sv=70984f49a72a714660db72cc20543dc0","CN102778016")</f>
        <v>CN102778016</v>
      </c>
      <c r="B441" s="2" t="s">
        <v>2196</v>
      </c>
      <c r="C441" s="2" t="s">
        <v>2197</v>
      </c>
      <c r="D441" s="2" t="s">
        <v>1078</v>
      </c>
      <c r="E441" s="2" t="s">
        <v>36</v>
      </c>
      <c r="F441" s="2" t="s">
        <v>2198</v>
      </c>
      <c r="G441" s="2" t="s">
        <v>2199</v>
      </c>
      <c r="H441" s="2" t="s">
        <v>0</v>
      </c>
      <c r="I441" s="2" t="s">
        <v>2200</v>
      </c>
      <c r="J441" s="2" t="s">
        <v>2201</v>
      </c>
      <c r="K441" s="2" t="s">
        <v>41</v>
      </c>
      <c r="L441" s="2" t="s">
        <v>2202</v>
      </c>
      <c r="M441" s="2">
        <v>10</v>
      </c>
      <c r="N441" s="2">
        <v>10</v>
      </c>
      <c r="O441" s="2" t="s">
        <v>75</v>
      </c>
      <c r="P441" s="2" t="s">
        <v>44</v>
      </c>
      <c r="Q441" s="2">
        <v>2</v>
      </c>
      <c r="R441" s="2">
        <v>0</v>
      </c>
      <c r="S441" s="2">
        <v>2</v>
      </c>
      <c r="T441" s="2">
        <v>2</v>
      </c>
      <c r="U441" s="2">
        <v>3</v>
      </c>
      <c r="V441" s="2" t="s">
        <v>2203</v>
      </c>
      <c r="W441" s="2">
        <v>0</v>
      </c>
      <c r="X441" s="2">
        <v>3</v>
      </c>
      <c r="Y441" s="2">
        <v>1</v>
      </c>
      <c r="Z441" s="2">
        <v>3</v>
      </c>
      <c r="AA441" s="2">
        <v>0</v>
      </c>
      <c r="AB441" s="2">
        <v>0</v>
      </c>
      <c r="AC441" s="2" t="s">
        <v>0</v>
      </c>
      <c r="AD441" s="2">
        <v>1</v>
      </c>
      <c r="AE441" s="2" t="s">
        <v>100</v>
      </c>
    </row>
    <row r="442" spans="1:31" ht="25.5" x14ac:dyDescent="0.2">
      <c r="A442" s="5" t="str">
        <f>HYPERLINK("http://www.patentics.cn/invokexml.do?sf=ShowPatent&amp;spn=CN2926903&amp;sv=dd77d75ec0ddbeb652c08de7df02a873","CN2926903")</f>
        <v>CN2926903</v>
      </c>
      <c r="B442" s="3" t="s">
        <v>2204</v>
      </c>
      <c r="C442" s="3" t="s">
        <v>2205</v>
      </c>
      <c r="D442" s="3" t="s">
        <v>49</v>
      </c>
      <c r="E442" s="3" t="s">
        <v>50</v>
      </c>
      <c r="F442" s="3" t="s">
        <v>2206</v>
      </c>
      <c r="G442" s="3" t="s">
        <v>2207</v>
      </c>
      <c r="H442" s="3" t="s">
        <v>2208</v>
      </c>
      <c r="I442" s="3" t="s">
        <v>2208</v>
      </c>
      <c r="J442" s="3" t="s">
        <v>1259</v>
      </c>
      <c r="K442" s="3" t="s">
        <v>41</v>
      </c>
      <c r="L442" s="3" t="s">
        <v>1315</v>
      </c>
      <c r="M442" s="3">
        <v>9</v>
      </c>
      <c r="N442" s="3">
        <v>11</v>
      </c>
      <c r="O442" s="3" t="s">
        <v>55</v>
      </c>
      <c r="P442" s="3" t="s">
        <v>44</v>
      </c>
      <c r="Q442" s="3">
        <v>0</v>
      </c>
      <c r="R442" s="3">
        <v>0</v>
      </c>
      <c r="S442" s="3">
        <v>0</v>
      </c>
      <c r="T442" s="3">
        <v>0</v>
      </c>
      <c r="U442" s="3">
        <v>1</v>
      </c>
      <c r="V442" s="3" t="s">
        <v>56</v>
      </c>
      <c r="W442" s="3">
        <v>0</v>
      </c>
      <c r="X442" s="3">
        <v>1</v>
      </c>
      <c r="Y442" s="3">
        <v>1</v>
      </c>
      <c r="Z442" s="3">
        <v>1</v>
      </c>
      <c r="AA442" s="3">
        <v>1</v>
      </c>
      <c r="AB442" s="3">
        <v>2</v>
      </c>
      <c r="AC442" s="3">
        <v>12</v>
      </c>
      <c r="AD442" s="3" t="s">
        <v>0</v>
      </c>
      <c r="AE442" s="3" t="s">
        <v>57</v>
      </c>
    </row>
    <row r="443" spans="1:31" ht="25.5" x14ac:dyDescent="0.2">
      <c r="A443" s="4" t="str">
        <f>HYPERLINK("http://www.patentics.cn/invokexml.do?sf=ShowPatent&amp;spn=CN202524181&amp;sv=48ad4f820308aaddaee126e9dd1bbcbf","CN202524181")</f>
        <v>CN202524181</v>
      </c>
      <c r="B443" s="2" t="s">
        <v>2209</v>
      </c>
      <c r="C443" s="2" t="s">
        <v>2210</v>
      </c>
      <c r="D443" s="2" t="s">
        <v>180</v>
      </c>
      <c r="E443" s="2" t="s">
        <v>36</v>
      </c>
      <c r="F443" s="2" t="s">
        <v>2211</v>
      </c>
      <c r="G443" s="2" t="s">
        <v>2211</v>
      </c>
      <c r="H443" s="2" t="s">
        <v>0</v>
      </c>
      <c r="I443" s="2" t="s">
        <v>2212</v>
      </c>
      <c r="J443" s="2" t="s">
        <v>533</v>
      </c>
      <c r="K443" s="2" t="s">
        <v>852</v>
      </c>
      <c r="L443" s="2" t="s">
        <v>1376</v>
      </c>
      <c r="M443" s="2">
        <v>7</v>
      </c>
      <c r="N443" s="2">
        <v>15</v>
      </c>
      <c r="O443" s="2" t="s">
        <v>55</v>
      </c>
      <c r="P443" s="2" t="s">
        <v>44</v>
      </c>
      <c r="Q443" s="2">
        <v>2</v>
      </c>
      <c r="R443" s="2">
        <v>0</v>
      </c>
      <c r="S443" s="2">
        <v>2</v>
      </c>
      <c r="T443" s="2">
        <v>2</v>
      </c>
      <c r="U443" s="2">
        <v>0</v>
      </c>
      <c r="V443" s="2" t="s">
        <v>45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 t="s">
        <v>0</v>
      </c>
      <c r="AD443" s="2">
        <v>1</v>
      </c>
      <c r="AE443" s="2" t="s">
        <v>46</v>
      </c>
    </row>
    <row r="444" spans="1:31" ht="25.5" x14ac:dyDescent="0.2">
      <c r="A444" s="5" t="str">
        <f>HYPERLINK("http://www.patentics.cn/invokexml.do?sf=ShowPatent&amp;spn=CN202009283&amp;sv=9e08f820a4958d7e55704ab68e19610c","CN202009283")</f>
        <v>CN202009283</v>
      </c>
      <c r="B444" s="3" t="s">
        <v>2213</v>
      </c>
      <c r="C444" s="3" t="s">
        <v>2214</v>
      </c>
      <c r="D444" s="3" t="s">
        <v>49</v>
      </c>
      <c r="E444" s="3" t="s">
        <v>50</v>
      </c>
      <c r="F444" s="3" t="s">
        <v>2215</v>
      </c>
      <c r="G444" s="3" t="s">
        <v>2216</v>
      </c>
      <c r="H444" s="3" t="s">
        <v>0</v>
      </c>
      <c r="I444" s="3" t="s">
        <v>2217</v>
      </c>
      <c r="J444" s="3" t="s">
        <v>2218</v>
      </c>
      <c r="K444" s="3" t="s">
        <v>852</v>
      </c>
      <c r="L444" s="3" t="s">
        <v>2219</v>
      </c>
      <c r="M444" s="3">
        <v>7</v>
      </c>
      <c r="N444" s="3">
        <v>4</v>
      </c>
      <c r="O444" s="3" t="s">
        <v>55</v>
      </c>
      <c r="P444" s="3" t="s">
        <v>44</v>
      </c>
      <c r="Q444" s="3">
        <v>0</v>
      </c>
      <c r="R444" s="3">
        <v>0</v>
      </c>
      <c r="S444" s="3">
        <v>0</v>
      </c>
      <c r="T444" s="3">
        <v>0</v>
      </c>
      <c r="U444" s="3">
        <v>2</v>
      </c>
      <c r="V444" s="3" t="s">
        <v>1106</v>
      </c>
      <c r="W444" s="3">
        <v>1</v>
      </c>
      <c r="X444" s="3">
        <v>1</v>
      </c>
      <c r="Y444" s="3">
        <v>2</v>
      </c>
      <c r="Z444" s="3">
        <v>1</v>
      </c>
      <c r="AA444" s="3">
        <v>0</v>
      </c>
      <c r="AB444" s="3">
        <v>0</v>
      </c>
      <c r="AC444" s="3">
        <v>12</v>
      </c>
      <c r="AD444" s="3" t="s">
        <v>0</v>
      </c>
      <c r="AE444" s="3" t="s">
        <v>57</v>
      </c>
    </row>
    <row r="445" spans="1:31" ht="25.5" x14ac:dyDescent="0.2">
      <c r="A445" s="4" t="str">
        <f>HYPERLINK("http://www.patentics.cn/invokexml.do?sf=ShowPatent&amp;spn=CN202432665&amp;sv=c1150cadecd0f7145f4f2ba833a890e7","CN202432665")</f>
        <v>CN202432665</v>
      </c>
      <c r="B445" s="2" t="s">
        <v>2220</v>
      </c>
      <c r="C445" s="2" t="s">
        <v>2221</v>
      </c>
      <c r="D445" s="2" t="s">
        <v>246</v>
      </c>
      <c r="E445" s="2" t="s">
        <v>36</v>
      </c>
      <c r="F445" s="2" t="s">
        <v>2222</v>
      </c>
      <c r="G445" s="2" t="s">
        <v>2223</v>
      </c>
      <c r="H445" s="2" t="s">
        <v>0</v>
      </c>
      <c r="I445" s="2" t="s">
        <v>914</v>
      </c>
      <c r="J445" s="2" t="s">
        <v>1805</v>
      </c>
      <c r="K445" s="2" t="s">
        <v>41</v>
      </c>
      <c r="L445" s="2" t="s">
        <v>1969</v>
      </c>
      <c r="M445" s="2">
        <v>6</v>
      </c>
      <c r="N445" s="2">
        <v>8</v>
      </c>
      <c r="O445" s="2" t="s">
        <v>55</v>
      </c>
      <c r="P445" s="2" t="s">
        <v>44</v>
      </c>
      <c r="Q445" s="2">
        <v>1</v>
      </c>
      <c r="R445" s="2">
        <v>0</v>
      </c>
      <c r="S445" s="2">
        <v>1</v>
      </c>
      <c r="T445" s="2">
        <v>1</v>
      </c>
      <c r="U445" s="2">
        <v>0</v>
      </c>
      <c r="V445" s="2" t="s">
        <v>45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 t="s">
        <v>0</v>
      </c>
      <c r="AD445" s="2">
        <v>1</v>
      </c>
      <c r="AE445" s="2" t="s">
        <v>46</v>
      </c>
    </row>
    <row r="446" spans="1:31" ht="63.75" x14ac:dyDescent="0.2">
      <c r="A446" s="5" t="str">
        <f>HYPERLINK("http://www.patentics.cn/invokexml.do?sf=ShowPatent&amp;spn=CN201628426&amp;sv=b1e33e90c8001eb372e77421f2b33e18","CN201628426")</f>
        <v>CN201628426</v>
      </c>
      <c r="B446" s="3" t="s">
        <v>2224</v>
      </c>
      <c r="C446" s="3" t="s">
        <v>2225</v>
      </c>
      <c r="D446" s="3" t="s">
        <v>49</v>
      </c>
      <c r="E446" s="3" t="s">
        <v>50</v>
      </c>
      <c r="F446" s="3" t="s">
        <v>2226</v>
      </c>
      <c r="G446" s="3" t="s">
        <v>52</v>
      </c>
      <c r="H446" s="3" t="s">
        <v>61</v>
      </c>
      <c r="I446" s="3" t="s">
        <v>61</v>
      </c>
      <c r="J446" s="3" t="s">
        <v>62</v>
      </c>
      <c r="K446" s="3" t="s">
        <v>347</v>
      </c>
      <c r="L446" s="3" t="s">
        <v>1518</v>
      </c>
      <c r="M446" s="3">
        <v>10</v>
      </c>
      <c r="N446" s="3">
        <v>8</v>
      </c>
      <c r="O446" s="3" t="s">
        <v>55</v>
      </c>
      <c r="P446" s="3" t="s">
        <v>44</v>
      </c>
      <c r="Q446" s="3">
        <v>0</v>
      </c>
      <c r="R446" s="3">
        <v>0</v>
      </c>
      <c r="S446" s="3">
        <v>0</v>
      </c>
      <c r="T446" s="3">
        <v>0</v>
      </c>
      <c r="U446" s="3">
        <v>2</v>
      </c>
      <c r="V446" s="3" t="s">
        <v>2227</v>
      </c>
      <c r="W446" s="3">
        <v>1</v>
      </c>
      <c r="X446" s="3">
        <v>1</v>
      </c>
      <c r="Y446" s="3">
        <v>2</v>
      </c>
      <c r="Z446" s="3">
        <v>2</v>
      </c>
      <c r="AA446" s="3">
        <v>1</v>
      </c>
      <c r="AB446" s="3">
        <v>2</v>
      </c>
      <c r="AC446" s="3">
        <v>12</v>
      </c>
      <c r="AD446" s="3" t="s">
        <v>0</v>
      </c>
      <c r="AE446" s="3" t="s">
        <v>46</v>
      </c>
    </row>
    <row r="447" spans="1:31" ht="51" x14ac:dyDescent="0.2">
      <c r="A447" s="4" t="str">
        <f>HYPERLINK("http://www.patentics.cn/invokexml.do?sf=ShowPatent&amp;spn=CN102620402&amp;sv=045e129d2b7d92f26acf73b31b449cd9","CN102620402")</f>
        <v>CN102620402</v>
      </c>
      <c r="B447" s="2" t="s">
        <v>2228</v>
      </c>
      <c r="C447" s="2" t="s">
        <v>2229</v>
      </c>
      <c r="D447" s="2" t="s">
        <v>246</v>
      </c>
      <c r="E447" s="2" t="s">
        <v>36</v>
      </c>
      <c r="F447" s="2" t="s">
        <v>2230</v>
      </c>
      <c r="G447" s="2" t="s">
        <v>2231</v>
      </c>
      <c r="H447" s="2" t="s">
        <v>0</v>
      </c>
      <c r="I447" s="2" t="s">
        <v>1126</v>
      </c>
      <c r="J447" s="2" t="s">
        <v>469</v>
      </c>
      <c r="K447" s="2" t="s">
        <v>41</v>
      </c>
      <c r="L447" s="2" t="s">
        <v>453</v>
      </c>
      <c r="M447" s="2">
        <v>10</v>
      </c>
      <c r="N447" s="2">
        <v>12</v>
      </c>
      <c r="O447" s="2" t="s">
        <v>75</v>
      </c>
      <c r="P447" s="2" t="s">
        <v>44</v>
      </c>
      <c r="Q447" s="2">
        <v>2</v>
      </c>
      <c r="R447" s="2">
        <v>0</v>
      </c>
      <c r="S447" s="2">
        <v>2</v>
      </c>
      <c r="T447" s="2">
        <v>2</v>
      </c>
      <c r="U447" s="2">
        <v>0</v>
      </c>
      <c r="V447" s="2" t="s">
        <v>45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 t="s">
        <v>0</v>
      </c>
      <c r="AD447" s="2">
        <v>1</v>
      </c>
      <c r="AE447" s="2" t="s">
        <v>1852</v>
      </c>
    </row>
    <row r="448" spans="1:31" ht="51" x14ac:dyDescent="0.2">
      <c r="A448" s="5" t="str">
        <f>HYPERLINK("http://www.patentics.cn/invokexml.do?sf=ShowPatent&amp;spn=CN201514011&amp;sv=da47c7088168cfc1b862acacc6473e26","CN201514011")</f>
        <v>CN201514011</v>
      </c>
      <c r="B448" s="3" t="s">
        <v>2232</v>
      </c>
      <c r="C448" s="3" t="s">
        <v>2233</v>
      </c>
      <c r="D448" s="3" t="s">
        <v>49</v>
      </c>
      <c r="E448" s="3" t="s">
        <v>50</v>
      </c>
      <c r="F448" s="3" t="s">
        <v>1808</v>
      </c>
      <c r="G448" s="3" t="s">
        <v>52</v>
      </c>
      <c r="H448" s="3" t="s">
        <v>0</v>
      </c>
      <c r="I448" s="3" t="s">
        <v>859</v>
      </c>
      <c r="J448" s="3" t="s">
        <v>662</v>
      </c>
      <c r="K448" s="3" t="s">
        <v>41</v>
      </c>
      <c r="L448" s="3" t="s">
        <v>453</v>
      </c>
      <c r="M448" s="3">
        <v>9</v>
      </c>
      <c r="N448" s="3">
        <v>15</v>
      </c>
      <c r="O448" s="3" t="s">
        <v>55</v>
      </c>
      <c r="P448" s="3" t="s">
        <v>44</v>
      </c>
      <c r="Q448" s="3">
        <v>0</v>
      </c>
      <c r="R448" s="3">
        <v>0</v>
      </c>
      <c r="S448" s="3">
        <v>0</v>
      </c>
      <c r="T448" s="3">
        <v>0</v>
      </c>
      <c r="U448" s="3">
        <v>1</v>
      </c>
      <c r="V448" s="3" t="s">
        <v>56</v>
      </c>
      <c r="W448" s="3">
        <v>0</v>
      </c>
      <c r="X448" s="3">
        <v>1</v>
      </c>
      <c r="Y448" s="3">
        <v>1</v>
      </c>
      <c r="Z448" s="3">
        <v>1</v>
      </c>
      <c r="AA448" s="3">
        <v>0</v>
      </c>
      <c r="AB448" s="3">
        <v>0</v>
      </c>
      <c r="AC448" s="3">
        <v>12</v>
      </c>
      <c r="AD448" s="3" t="s">
        <v>0</v>
      </c>
      <c r="AE448" s="3" t="s">
        <v>46</v>
      </c>
    </row>
    <row r="449" spans="1:31" ht="51" x14ac:dyDescent="0.2">
      <c r="A449" s="4" t="str">
        <f>HYPERLINK("http://www.patentics.cn/invokexml.do?sf=ShowPatent&amp;spn=CN202361596&amp;sv=62b31cf4ecdf3a806314321904f050e2","CN202361596")</f>
        <v>CN202361596</v>
      </c>
      <c r="B449" s="2" t="s">
        <v>2234</v>
      </c>
      <c r="C449" s="2" t="s">
        <v>2235</v>
      </c>
      <c r="D449" s="2" t="s">
        <v>246</v>
      </c>
      <c r="E449" s="2" t="s">
        <v>36</v>
      </c>
      <c r="F449" s="2" t="s">
        <v>2236</v>
      </c>
      <c r="G449" s="2" t="s">
        <v>2237</v>
      </c>
      <c r="H449" s="2" t="s">
        <v>0</v>
      </c>
      <c r="I449" s="2" t="s">
        <v>2238</v>
      </c>
      <c r="J449" s="2" t="s">
        <v>469</v>
      </c>
      <c r="K449" s="2" t="s">
        <v>41</v>
      </c>
      <c r="L449" s="2" t="s">
        <v>453</v>
      </c>
      <c r="M449" s="2">
        <v>7</v>
      </c>
      <c r="N449" s="2">
        <v>10</v>
      </c>
      <c r="O449" s="2" t="s">
        <v>55</v>
      </c>
      <c r="P449" s="2" t="s">
        <v>44</v>
      </c>
      <c r="Q449" s="2">
        <v>2</v>
      </c>
      <c r="R449" s="2">
        <v>0</v>
      </c>
      <c r="S449" s="2">
        <v>2</v>
      </c>
      <c r="T449" s="2">
        <v>2</v>
      </c>
      <c r="U449" s="2">
        <v>0</v>
      </c>
      <c r="V449" s="2" t="s">
        <v>45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 t="s">
        <v>0</v>
      </c>
      <c r="AD449" s="2">
        <v>1</v>
      </c>
      <c r="AE449" s="2" t="s">
        <v>46</v>
      </c>
    </row>
    <row r="450" spans="1:31" ht="25.5" x14ac:dyDescent="0.2">
      <c r="A450" s="5" t="str">
        <f>HYPERLINK("http://www.patentics.cn/invokexml.do?sf=ShowPatent&amp;spn=CN201983353&amp;sv=efeb27ecf967ed9695c24ec2bdce3e08","CN201983353")</f>
        <v>CN201983353</v>
      </c>
      <c r="B450" s="3" t="s">
        <v>2239</v>
      </c>
      <c r="C450" s="3" t="s">
        <v>874</v>
      </c>
      <c r="D450" s="3" t="s">
        <v>49</v>
      </c>
      <c r="E450" s="3" t="s">
        <v>50</v>
      </c>
      <c r="F450" s="3" t="s">
        <v>1485</v>
      </c>
      <c r="G450" s="3" t="s">
        <v>1485</v>
      </c>
      <c r="H450" s="3" t="s">
        <v>0</v>
      </c>
      <c r="I450" s="3" t="s">
        <v>468</v>
      </c>
      <c r="J450" s="3" t="s">
        <v>2165</v>
      </c>
      <c r="K450" s="3" t="s">
        <v>41</v>
      </c>
      <c r="L450" s="3" t="s">
        <v>42</v>
      </c>
      <c r="M450" s="3">
        <v>8</v>
      </c>
      <c r="N450" s="3">
        <v>11</v>
      </c>
      <c r="O450" s="3" t="s">
        <v>55</v>
      </c>
      <c r="P450" s="3" t="s">
        <v>44</v>
      </c>
      <c r="Q450" s="3">
        <v>0</v>
      </c>
      <c r="R450" s="3">
        <v>0</v>
      </c>
      <c r="S450" s="3">
        <v>0</v>
      </c>
      <c r="T450" s="3">
        <v>0</v>
      </c>
      <c r="U450" s="3">
        <v>1</v>
      </c>
      <c r="V450" s="3" t="s">
        <v>56</v>
      </c>
      <c r="W450" s="3">
        <v>0</v>
      </c>
      <c r="X450" s="3">
        <v>1</v>
      </c>
      <c r="Y450" s="3">
        <v>1</v>
      </c>
      <c r="Z450" s="3">
        <v>1</v>
      </c>
      <c r="AA450" s="3">
        <v>0</v>
      </c>
      <c r="AB450" s="3">
        <v>0</v>
      </c>
      <c r="AC450" s="3">
        <v>12</v>
      </c>
      <c r="AD450" s="3" t="s">
        <v>0</v>
      </c>
      <c r="AE450" s="3" t="s">
        <v>46</v>
      </c>
    </row>
    <row r="451" spans="1:31" ht="25.5" x14ac:dyDescent="0.2">
      <c r="A451" s="4" t="str">
        <f>HYPERLINK("http://www.patentics.cn/invokexml.do?sf=ShowPatent&amp;spn=CN202209731&amp;sv=dfafe6388b4dc2795d654f1bca73a167","CN202209731")</f>
        <v>CN202209731</v>
      </c>
      <c r="B451" s="2" t="s">
        <v>2240</v>
      </c>
      <c r="C451" s="2" t="s">
        <v>2179</v>
      </c>
      <c r="D451" s="2" t="s">
        <v>246</v>
      </c>
      <c r="E451" s="2" t="s">
        <v>36</v>
      </c>
      <c r="F451" s="2" t="s">
        <v>2241</v>
      </c>
      <c r="G451" s="2" t="s">
        <v>2241</v>
      </c>
      <c r="H451" s="2" t="s">
        <v>0</v>
      </c>
      <c r="I451" s="2" t="s">
        <v>2242</v>
      </c>
      <c r="J451" s="2" t="s">
        <v>2243</v>
      </c>
      <c r="K451" s="2" t="s">
        <v>41</v>
      </c>
      <c r="L451" s="2" t="s">
        <v>42</v>
      </c>
      <c r="M451" s="2">
        <v>6</v>
      </c>
      <c r="N451" s="2">
        <v>17</v>
      </c>
      <c r="O451" s="2" t="s">
        <v>55</v>
      </c>
      <c r="P451" s="2" t="s">
        <v>44</v>
      </c>
      <c r="Q451" s="2">
        <v>1</v>
      </c>
      <c r="R451" s="2">
        <v>0</v>
      </c>
      <c r="S451" s="2">
        <v>1</v>
      </c>
      <c r="T451" s="2">
        <v>1</v>
      </c>
      <c r="U451" s="2">
        <v>0</v>
      </c>
      <c r="V451" s="2" t="s">
        <v>45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 t="s">
        <v>0</v>
      </c>
      <c r="AD451" s="2">
        <v>1</v>
      </c>
      <c r="AE451" s="2" t="s">
        <v>46</v>
      </c>
    </row>
    <row r="452" spans="1:31" ht="51" x14ac:dyDescent="0.2">
      <c r="A452" s="5" t="str">
        <f>HYPERLINK("http://www.patentics.cn/invokexml.do?sf=ShowPatent&amp;spn=CN2769726&amp;sv=97058c0519cbc8ac647216340611c84a","CN2769726")</f>
        <v>CN2769726</v>
      </c>
      <c r="B452" s="3" t="s">
        <v>2244</v>
      </c>
      <c r="C452" s="3" t="s">
        <v>2245</v>
      </c>
      <c r="D452" s="3" t="s">
        <v>49</v>
      </c>
      <c r="E452" s="3" t="s">
        <v>50</v>
      </c>
      <c r="F452" s="3" t="s">
        <v>2246</v>
      </c>
      <c r="G452" s="3" t="s">
        <v>52</v>
      </c>
      <c r="H452" s="3" t="s">
        <v>0</v>
      </c>
      <c r="I452" s="3" t="s">
        <v>2247</v>
      </c>
      <c r="J452" s="3" t="s">
        <v>2248</v>
      </c>
      <c r="K452" s="3" t="s">
        <v>41</v>
      </c>
      <c r="L452" s="3" t="s">
        <v>42</v>
      </c>
      <c r="M452" s="3">
        <v>10</v>
      </c>
      <c r="N452" s="3">
        <v>26</v>
      </c>
      <c r="O452" s="3" t="s">
        <v>55</v>
      </c>
      <c r="P452" s="3" t="s">
        <v>44</v>
      </c>
      <c r="Q452" s="3">
        <v>0</v>
      </c>
      <c r="R452" s="3">
        <v>0</v>
      </c>
      <c r="S452" s="3">
        <v>0</v>
      </c>
      <c r="T452" s="3">
        <v>0</v>
      </c>
      <c r="U452" s="3">
        <v>3</v>
      </c>
      <c r="V452" s="3" t="s">
        <v>698</v>
      </c>
      <c r="W452" s="3">
        <v>0</v>
      </c>
      <c r="X452" s="3">
        <v>3</v>
      </c>
      <c r="Y452" s="3">
        <v>1</v>
      </c>
      <c r="Z452" s="3">
        <v>1</v>
      </c>
      <c r="AA452" s="3">
        <v>0</v>
      </c>
      <c r="AB452" s="3">
        <v>0</v>
      </c>
      <c r="AC452" s="3">
        <v>12</v>
      </c>
      <c r="AD452" s="3" t="s">
        <v>0</v>
      </c>
      <c r="AE452" s="3" t="s">
        <v>57</v>
      </c>
    </row>
    <row r="453" spans="1:31" ht="25.5" x14ac:dyDescent="0.2">
      <c r="A453" s="4" t="str">
        <f>HYPERLINK("http://www.patentics.cn/invokexml.do?sf=ShowPatent&amp;spn=CN202209730&amp;sv=be6a4f9414933020e0d4ab7912530d67","CN202209730")</f>
        <v>CN202209730</v>
      </c>
      <c r="B453" s="2" t="s">
        <v>2249</v>
      </c>
      <c r="C453" s="2" t="s">
        <v>437</v>
      </c>
      <c r="D453" s="2" t="s">
        <v>246</v>
      </c>
      <c r="E453" s="2" t="s">
        <v>36</v>
      </c>
      <c r="F453" s="2" t="s">
        <v>2250</v>
      </c>
      <c r="G453" s="2" t="s">
        <v>2241</v>
      </c>
      <c r="H453" s="2" t="s">
        <v>0</v>
      </c>
      <c r="I453" s="2" t="s">
        <v>2242</v>
      </c>
      <c r="J453" s="2" t="s">
        <v>2243</v>
      </c>
      <c r="K453" s="2" t="s">
        <v>41</v>
      </c>
      <c r="L453" s="2" t="s">
        <v>42</v>
      </c>
      <c r="M453" s="2">
        <v>2</v>
      </c>
      <c r="N453" s="2">
        <v>16</v>
      </c>
      <c r="O453" s="2" t="s">
        <v>55</v>
      </c>
      <c r="P453" s="2" t="s">
        <v>44</v>
      </c>
      <c r="Q453" s="2">
        <v>1</v>
      </c>
      <c r="R453" s="2">
        <v>0</v>
      </c>
      <c r="S453" s="2">
        <v>1</v>
      </c>
      <c r="T453" s="2">
        <v>1</v>
      </c>
      <c r="U453" s="2">
        <v>0</v>
      </c>
      <c r="V453" s="2" t="s">
        <v>45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 t="s">
        <v>0</v>
      </c>
      <c r="AD453" s="2">
        <v>1</v>
      </c>
      <c r="AE453" s="2" t="s">
        <v>46</v>
      </c>
    </row>
    <row r="454" spans="1:31" ht="51" x14ac:dyDescent="0.2">
      <c r="A454" s="5" t="str">
        <f>HYPERLINK("http://www.patentics.cn/invokexml.do?sf=ShowPatent&amp;spn=CN2769726&amp;sv=97058c0519cbc8ac647216340611c84a","CN2769726")</f>
        <v>CN2769726</v>
      </c>
      <c r="B454" s="3" t="s">
        <v>2244</v>
      </c>
      <c r="C454" s="3" t="s">
        <v>2245</v>
      </c>
      <c r="D454" s="3" t="s">
        <v>49</v>
      </c>
      <c r="E454" s="3" t="s">
        <v>50</v>
      </c>
      <c r="F454" s="3" t="s">
        <v>2246</v>
      </c>
      <c r="G454" s="3" t="s">
        <v>52</v>
      </c>
      <c r="H454" s="3" t="s">
        <v>0</v>
      </c>
      <c r="I454" s="3" t="s">
        <v>2247</v>
      </c>
      <c r="J454" s="3" t="s">
        <v>2248</v>
      </c>
      <c r="K454" s="3" t="s">
        <v>41</v>
      </c>
      <c r="L454" s="3" t="s">
        <v>42</v>
      </c>
      <c r="M454" s="3">
        <v>10</v>
      </c>
      <c r="N454" s="3">
        <v>26</v>
      </c>
      <c r="O454" s="3" t="s">
        <v>55</v>
      </c>
      <c r="P454" s="3" t="s">
        <v>44</v>
      </c>
      <c r="Q454" s="3">
        <v>0</v>
      </c>
      <c r="R454" s="3">
        <v>0</v>
      </c>
      <c r="S454" s="3">
        <v>0</v>
      </c>
      <c r="T454" s="3">
        <v>0</v>
      </c>
      <c r="U454" s="3">
        <v>3</v>
      </c>
      <c r="V454" s="3" t="s">
        <v>698</v>
      </c>
      <c r="W454" s="3">
        <v>0</v>
      </c>
      <c r="X454" s="3">
        <v>3</v>
      </c>
      <c r="Y454" s="3">
        <v>1</v>
      </c>
      <c r="Z454" s="3">
        <v>1</v>
      </c>
      <c r="AA454" s="3">
        <v>0</v>
      </c>
      <c r="AB454" s="3">
        <v>0</v>
      </c>
      <c r="AC454" s="3">
        <v>12</v>
      </c>
      <c r="AD454" s="3" t="s">
        <v>0</v>
      </c>
      <c r="AE454" s="3" t="s">
        <v>57</v>
      </c>
    </row>
    <row r="455" spans="1:31" ht="25.5" x14ac:dyDescent="0.2">
      <c r="A455" s="4" t="str">
        <f>HYPERLINK("http://www.patentics.cn/invokexml.do?sf=ShowPatent&amp;spn=CN202203115&amp;sv=daaae0cc72b5d26b3018233588552680","CN202203115")</f>
        <v>CN202203115</v>
      </c>
      <c r="B455" s="2" t="s">
        <v>2251</v>
      </c>
      <c r="C455" s="2" t="s">
        <v>2252</v>
      </c>
      <c r="D455" s="2" t="s">
        <v>2253</v>
      </c>
      <c r="E455" s="2" t="s">
        <v>36</v>
      </c>
      <c r="F455" s="2" t="s">
        <v>2254</v>
      </c>
      <c r="G455" s="2" t="s">
        <v>2255</v>
      </c>
      <c r="H455" s="2" t="s">
        <v>0</v>
      </c>
      <c r="I455" s="2" t="s">
        <v>2242</v>
      </c>
      <c r="J455" s="2" t="s">
        <v>1486</v>
      </c>
      <c r="K455" s="2" t="s">
        <v>185</v>
      </c>
      <c r="L455" s="2" t="s">
        <v>216</v>
      </c>
      <c r="M455" s="2">
        <v>9</v>
      </c>
      <c r="N455" s="2">
        <v>19</v>
      </c>
      <c r="O455" s="2" t="s">
        <v>55</v>
      </c>
      <c r="P455" s="2" t="s">
        <v>44</v>
      </c>
      <c r="Q455" s="2">
        <v>2</v>
      </c>
      <c r="R455" s="2">
        <v>0</v>
      </c>
      <c r="S455" s="2">
        <v>2</v>
      </c>
      <c r="T455" s="2">
        <v>2</v>
      </c>
      <c r="U455" s="2">
        <v>0</v>
      </c>
      <c r="V455" s="2" t="s">
        <v>45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 t="s">
        <v>0</v>
      </c>
      <c r="AD455" s="2">
        <v>1</v>
      </c>
      <c r="AE455" s="2" t="s">
        <v>46</v>
      </c>
    </row>
    <row r="456" spans="1:31" ht="38.25" x14ac:dyDescent="0.2">
      <c r="A456" s="5" t="str">
        <f>HYPERLINK("http://www.patentics.cn/invokexml.do?sf=ShowPatent&amp;spn=CN201757060&amp;sv=53dfa4844c92356eef024ddbaadedb36","CN201757060")</f>
        <v>CN201757060</v>
      </c>
      <c r="B456" s="3" t="s">
        <v>2256</v>
      </c>
      <c r="C456" s="3" t="s">
        <v>2257</v>
      </c>
      <c r="D456" s="3" t="s">
        <v>189</v>
      </c>
      <c r="E456" s="3" t="s">
        <v>190</v>
      </c>
      <c r="F456" s="3" t="s">
        <v>2258</v>
      </c>
      <c r="G456" s="3" t="s">
        <v>2259</v>
      </c>
      <c r="H456" s="3" t="s">
        <v>0</v>
      </c>
      <c r="I456" s="3" t="s">
        <v>2260</v>
      </c>
      <c r="J456" s="3" t="s">
        <v>2261</v>
      </c>
      <c r="K456" s="3" t="s">
        <v>185</v>
      </c>
      <c r="L456" s="3" t="s">
        <v>2262</v>
      </c>
      <c r="M456" s="3">
        <v>4</v>
      </c>
      <c r="N456" s="3">
        <v>14</v>
      </c>
      <c r="O456" s="3" t="s">
        <v>55</v>
      </c>
      <c r="P456" s="3" t="s">
        <v>44</v>
      </c>
      <c r="Q456" s="3">
        <v>0</v>
      </c>
      <c r="R456" s="3">
        <v>0</v>
      </c>
      <c r="S456" s="3">
        <v>0</v>
      </c>
      <c r="T456" s="3">
        <v>0</v>
      </c>
      <c r="U456" s="3">
        <v>4</v>
      </c>
      <c r="V456" s="3" t="s">
        <v>2079</v>
      </c>
      <c r="W456" s="3">
        <v>0</v>
      </c>
      <c r="X456" s="3">
        <v>4</v>
      </c>
      <c r="Y456" s="3">
        <v>2</v>
      </c>
      <c r="Z456" s="3">
        <v>1</v>
      </c>
      <c r="AA456" s="3">
        <v>0</v>
      </c>
      <c r="AB456" s="3">
        <v>0</v>
      </c>
      <c r="AC456" s="3">
        <v>12</v>
      </c>
      <c r="AD456" s="3" t="s">
        <v>0</v>
      </c>
      <c r="AE456" s="3" t="s">
        <v>46</v>
      </c>
    </row>
    <row r="457" spans="1:31" ht="25.5" x14ac:dyDescent="0.2">
      <c r="A457" s="4" t="str">
        <f>HYPERLINK("http://www.patentics.cn/invokexml.do?sf=ShowPatent&amp;spn=CN202203114&amp;sv=069a45eb4a6d71b57ec9142d869fca03","CN202203114")</f>
        <v>CN202203114</v>
      </c>
      <c r="B457" s="2" t="s">
        <v>2263</v>
      </c>
      <c r="C457" s="2" t="s">
        <v>511</v>
      </c>
      <c r="D457" s="2" t="s">
        <v>2253</v>
      </c>
      <c r="E457" s="2" t="s">
        <v>36</v>
      </c>
      <c r="F457" s="2" t="s">
        <v>2255</v>
      </c>
      <c r="G457" s="2" t="s">
        <v>2255</v>
      </c>
      <c r="H457" s="2" t="s">
        <v>0</v>
      </c>
      <c r="I457" s="2" t="s">
        <v>641</v>
      </c>
      <c r="J457" s="2" t="s">
        <v>1486</v>
      </c>
      <c r="K457" s="2" t="s">
        <v>185</v>
      </c>
      <c r="L457" s="2" t="s">
        <v>216</v>
      </c>
      <c r="M457" s="2">
        <v>4</v>
      </c>
      <c r="N457" s="2">
        <v>22</v>
      </c>
      <c r="O457" s="2" t="s">
        <v>55</v>
      </c>
      <c r="P457" s="2" t="s">
        <v>44</v>
      </c>
      <c r="Q457" s="2">
        <v>2</v>
      </c>
      <c r="R457" s="2">
        <v>0</v>
      </c>
      <c r="S457" s="2">
        <v>2</v>
      </c>
      <c r="T457" s="2">
        <v>2</v>
      </c>
      <c r="U457" s="2">
        <v>0</v>
      </c>
      <c r="V457" s="2" t="s">
        <v>45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 t="s">
        <v>0</v>
      </c>
      <c r="AD457" s="2">
        <v>1</v>
      </c>
      <c r="AE457" s="2" t="s">
        <v>46</v>
      </c>
    </row>
    <row r="458" spans="1:31" ht="38.25" x14ac:dyDescent="0.2">
      <c r="A458" s="5" t="str">
        <f>HYPERLINK("http://www.patentics.cn/invokexml.do?sf=ShowPatent&amp;spn=CN201757060&amp;sv=53dfa4844c92356eef024ddbaadedb36","CN201757060")</f>
        <v>CN201757060</v>
      </c>
      <c r="B458" s="3" t="s">
        <v>2256</v>
      </c>
      <c r="C458" s="3" t="s">
        <v>2257</v>
      </c>
      <c r="D458" s="3" t="s">
        <v>189</v>
      </c>
      <c r="E458" s="3" t="s">
        <v>190</v>
      </c>
      <c r="F458" s="3" t="s">
        <v>2258</v>
      </c>
      <c r="G458" s="3" t="s">
        <v>2259</v>
      </c>
      <c r="H458" s="3" t="s">
        <v>0</v>
      </c>
      <c r="I458" s="3" t="s">
        <v>2260</v>
      </c>
      <c r="J458" s="3" t="s">
        <v>2261</v>
      </c>
      <c r="K458" s="3" t="s">
        <v>185</v>
      </c>
      <c r="L458" s="3" t="s">
        <v>2262</v>
      </c>
      <c r="M458" s="3">
        <v>4</v>
      </c>
      <c r="N458" s="3">
        <v>14</v>
      </c>
      <c r="O458" s="3" t="s">
        <v>55</v>
      </c>
      <c r="P458" s="3" t="s">
        <v>44</v>
      </c>
      <c r="Q458" s="3">
        <v>0</v>
      </c>
      <c r="R458" s="3">
        <v>0</v>
      </c>
      <c r="S458" s="3">
        <v>0</v>
      </c>
      <c r="T458" s="3">
        <v>0</v>
      </c>
      <c r="U458" s="3">
        <v>4</v>
      </c>
      <c r="V458" s="3" t="s">
        <v>2079</v>
      </c>
      <c r="W458" s="3">
        <v>0</v>
      </c>
      <c r="X458" s="3">
        <v>4</v>
      </c>
      <c r="Y458" s="3">
        <v>2</v>
      </c>
      <c r="Z458" s="3">
        <v>1</v>
      </c>
      <c r="AA458" s="3">
        <v>0</v>
      </c>
      <c r="AB458" s="3">
        <v>0</v>
      </c>
      <c r="AC458" s="3">
        <v>12</v>
      </c>
      <c r="AD458" s="3" t="s">
        <v>0</v>
      </c>
      <c r="AE458" s="3" t="s">
        <v>46</v>
      </c>
    </row>
    <row r="459" spans="1:31" ht="38.25" x14ac:dyDescent="0.2">
      <c r="A459" s="4" t="str">
        <f>HYPERLINK("http://www.patentics.cn/invokexml.do?sf=ShowPatent&amp;spn=CN202188563&amp;sv=dbc498a027b05c72152c8ff5aae2e292","CN202188563")</f>
        <v>CN202188563</v>
      </c>
      <c r="B459" s="2" t="s">
        <v>2264</v>
      </c>
      <c r="C459" s="2" t="s">
        <v>2265</v>
      </c>
      <c r="D459" s="2" t="s">
        <v>246</v>
      </c>
      <c r="E459" s="2" t="s">
        <v>36</v>
      </c>
      <c r="F459" s="2" t="s">
        <v>1672</v>
      </c>
      <c r="G459" s="2" t="s">
        <v>1673</v>
      </c>
      <c r="H459" s="2" t="s">
        <v>0</v>
      </c>
      <c r="I459" s="2" t="s">
        <v>1674</v>
      </c>
      <c r="J459" s="2" t="s">
        <v>2266</v>
      </c>
      <c r="K459" s="2" t="s">
        <v>41</v>
      </c>
      <c r="L459" s="2" t="s">
        <v>42</v>
      </c>
      <c r="M459" s="2">
        <v>5</v>
      </c>
      <c r="N459" s="2">
        <v>28</v>
      </c>
      <c r="O459" s="2" t="s">
        <v>55</v>
      </c>
      <c r="P459" s="2" t="s">
        <v>44</v>
      </c>
      <c r="Q459" s="2">
        <v>2</v>
      </c>
      <c r="R459" s="2">
        <v>0</v>
      </c>
      <c r="S459" s="2">
        <v>2</v>
      </c>
      <c r="T459" s="2">
        <v>2</v>
      </c>
      <c r="U459" s="2">
        <v>0</v>
      </c>
      <c r="V459" s="2" t="s">
        <v>45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 t="s">
        <v>0</v>
      </c>
      <c r="AD459" s="2">
        <v>1</v>
      </c>
      <c r="AE459" s="2" t="s">
        <v>57</v>
      </c>
    </row>
    <row r="460" spans="1:31" ht="51" x14ac:dyDescent="0.2">
      <c r="A460" s="5" t="str">
        <f>HYPERLINK("http://www.patentics.cn/invokexml.do?sf=ShowPatent&amp;spn=CN201582948&amp;sv=61ea1fca018eaaf55b18b7d836d2990a","CN201582948")</f>
        <v>CN201582948</v>
      </c>
      <c r="B460" s="3" t="s">
        <v>503</v>
      </c>
      <c r="C460" s="3" t="s">
        <v>504</v>
      </c>
      <c r="D460" s="3" t="s">
        <v>49</v>
      </c>
      <c r="E460" s="3" t="s">
        <v>50</v>
      </c>
      <c r="F460" s="3" t="s">
        <v>505</v>
      </c>
      <c r="G460" s="3" t="s">
        <v>506</v>
      </c>
      <c r="H460" s="3" t="s">
        <v>0</v>
      </c>
      <c r="I460" s="3" t="s">
        <v>507</v>
      </c>
      <c r="J460" s="3" t="s">
        <v>508</v>
      </c>
      <c r="K460" s="3" t="s">
        <v>41</v>
      </c>
      <c r="L460" s="3" t="s">
        <v>91</v>
      </c>
      <c r="M460" s="3">
        <v>10</v>
      </c>
      <c r="N460" s="3">
        <v>18</v>
      </c>
      <c r="O460" s="3" t="s">
        <v>55</v>
      </c>
      <c r="P460" s="3" t="s">
        <v>44</v>
      </c>
      <c r="Q460" s="3">
        <v>0</v>
      </c>
      <c r="R460" s="3">
        <v>0</v>
      </c>
      <c r="S460" s="3">
        <v>0</v>
      </c>
      <c r="T460" s="3">
        <v>0</v>
      </c>
      <c r="U460" s="3">
        <v>9</v>
      </c>
      <c r="V460" s="3" t="s">
        <v>509</v>
      </c>
      <c r="W460" s="3">
        <v>0</v>
      </c>
      <c r="X460" s="3">
        <v>9</v>
      </c>
      <c r="Y460" s="3">
        <v>1</v>
      </c>
      <c r="Z460" s="3">
        <v>1</v>
      </c>
      <c r="AA460" s="3">
        <v>0</v>
      </c>
      <c r="AB460" s="3">
        <v>0</v>
      </c>
      <c r="AC460" s="3">
        <v>12</v>
      </c>
      <c r="AD460" s="3" t="s">
        <v>0</v>
      </c>
      <c r="AE460" s="3" t="s">
        <v>46</v>
      </c>
    </row>
    <row r="461" spans="1:31" ht="38.25" x14ac:dyDescent="0.2">
      <c r="A461" s="4" t="str">
        <f>HYPERLINK("http://www.patentics.cn/invokexml.do?sf=ShowPatent&amp;spn=CN102345917&amp;sv=bae835e9281b09b44635c932771d4aa3","CN102345917")</f>
        <v>CN102345917</v>
      </c>
      <c r="B461" s="2" t="s">
        <v>999</v>
      </c>
      <c r="C461" s="2" t="s">
        <v>1000</v>
      </c>
      <c r="D461" s="2" t="s">
        <v>246</v>
      </c>
      <c r="E461" s="2" t="s">
        <v>36</v>
      </c>
      <c r="F461" s="2" t="s">
        <v>1001</v>
      </c>
      <c r="G461" s="2" t="s">
        <v>1002</v>
      </c>
      <c r="H461" s="2" t="s">
        <v>0</v>
      </c>
      <c r="I461" s="2" t="s">
        <v>1003</v>
      </c>
      <c r="J461" s="2" t="s">
        <v>642</v>
      </c>
      <c r="K461" s="2" t="s">
        <v>41</v>
      </c>
      <c r="L461" s="2" t="s">
        <v>84</v>
      </c>
      <c r="M461" s="2">
        <v>10</v>
      </c>
      <c r="N461" s="2">
        <v>35</v>
      </c>
      <c r="O461" s="2" t="s">
        <v>75</v>
      </c>
      <c r="P461" s="2" t="s">
        <v>44</v>
      </c>
      <c r="Q461" s="2">
        <v>1</v>
      </c>
      <c r="R461" s="2">
        <v>0</v>
      </c>
      <c r="S461" s="2">
        <v>1</v>
      </c>
      <c r="T461" s="2">
        <v>1</v>
      </c>
      <c r="U461" s="2">
        <v>2</v>
      </c>
      <c r="V461" s="2" t="s">
        <v>2267</v>
      </c>
      <c r="W461" s="2">
        <v>0</v>
      </c>
      <c r="X461" s="2">
        <v>2</v>
      </c>
      <c r="Y461" s="2">
        <v>2</v>
      </c>
      <c r="Z461" s="2">
        <v>1</v>
      </c>
      <c r="AA461" s="2">
        <v>0</v>
      </c>
      <c r="AB461" s="2">
        <v>0</v>
      </c>
      <c r="AC461" s="2" t="s">
        <v>0</v>
      </c>
      <c r="AD461" s="2">
        <v>1</v>
      </c>
      <c r="AE461" s="2" t="s">
        <v>46</v>
      </c>
    </row>
    <row r="462" spans="1:31" ht="51" x14ac:dyDescent="0.2">
      <c r="A462" s="5" t="str">
        <f>HYPERLINK("http://www.patentics.cn/invokexml.do?sf=ShowPatent&amp;spn=CN102147140&amp;sv=56ddbe918c3a3fb93fd3055ec3a8e0b7","CN102147140")</f>
        <v>CN102147140</v>
      </c>
      <c r="B462" s="3" t="s">
        <v>1004</v>
      </c>
      <c r="C462" s="3" t="s">
        <v>1005</v>
      </c>
      <c r="D462" s="3" t="s">
        <v>49</v>
      </c>
      <c r="E462" s="3" t="s">
        <v>50</v>
      </c>
      <c r="F462" s="3" t="s">
        <v>1006</v>
      </c>
      <c r="G462" s="3" t="s">
        <v>52</v>
      </c>
      <c r="H462" s="3" t="s">
        <v>1007</v>
      </c>
      <c r="I462" s="3" t="s">
        <v>1007</v>
      </c>
      <c r="J462" s="3" t="s">
        <v>106</v>
      </c>
      <c r="K462" s="3" t="s">
        <v>41</v>
      </c>
      <c r="L462" s="3" t="s">
        <v>84</v>
      </c>
      <c r="M462" s="3">
        <v>8</v>
      </c>
      <c r="N462" s="3">
        <v>26</v>
      </c>
      <c r="O462" s="3" t="s">
        <v>75</v>
      </c>
      <c r="P462" s="3" t="s">
        <v>44</v>
      </c>
      <c r="Q462" s="3">
        <v>0</v>
      </c>
      <c r="R462" s="3">
        <v>0</v>
      </c>
      <c r="S462" s="3">
        <v>0</v>
      </c>
      <c r="T462" s="3">
        <v>0</v>
      </c>
      <c r="U462" s="3">
        <v>3</v>
      </c>
      <c r="V462" s="3" t="s">
        <v>539</v>
      </c>
      <c r="W462" s="3">
        <v>0</v>
      </c>
      <c r="X462" s="3">
        <v>3</v>
      </c>
      <c r="Y462" s="3">
        <v>2</v>
      </c>
      <c r="Z462" s="3">
        <v>1</v>
      </c>
      <c r="AA462" s="3">
        <v>1</v>
      </c>
      <c r="AB462" s="3">
        <v>1</v>
      </c>
      <c r="AC462" s="3">
        <v>12</v>
      </c>
      <c r="AD462" s="3" t="s">
        <v>0</v>
      </c>
      <c r="AE462" s="3" t="s">
        <v>46</v>
      </c>
    </row>
    <row r="463" spans="1:31" ht="25.5" x14ac:dyDescent="0.2">
      <c r="A463" s="4" t="str">
        <f>HYPERLINK("http://www.patentics.cn/invokexml.do?sf=ShowPatent&amp;spn=CN202119063&amp;sv=eba25f6627c6e471d2a8cfbbbabce4b7","CN202119063")</f>
        <v>CN202119063</v>
      </c>
      <c r="B463" s="2" t="s">
        <v>2268</v>
      </c>
      <c r="C463" s="2" t="s">
        <v>2269</v>
      </c>
      <c r="D463" s="2" t="s">
        <v>35</v>
      </c>
      <c r="E463" s="2" t="s">
        <v>36</v>
      </c>
      <c r="F463" s="2" t="s">
        <v>2270</v>
      </c>
      <c r="G463" s="2" t="s">
        <v>654</v>
      </c>
      <c r="H463" s="2" t="s">
        <v>0</v>
      </c>
      <c r="I463" s="2" t="s">
        <v>494</v>
      </c>
      <c r="J463" s="2" t="s">
        <v>2271</v>
      </c>
      <c r="K463" s="2" t="s">
        <v>41</v>
      </c>
      <c r="L463" s="2" t="s">
        <v>255</v>
      </c>
      <c r="M463" s="2">
        <v>6</v>
      </c>
      <c r="N463" s="2">
        <v>10</v>
      </c>
      <c r="O463" s="2" t="s">
        <v>55</v>
      </c>
      <c r="P463" s="2" t="s">
        <v>44</v>
      </c>
      <c r="Q463" s="2">
        <v>1</v>
      </c>
      <c r="R463" s="2">
        <v>0</v>
      </c>
      <c r="S463" s="2">
        <v>1</v>
      </c>
      <c r="T463" s="2">
        <v>1</v>
      </c>
      <c r="U463" s="2">
        <v>0</v>
      </c>
      <c r="V463" s="2" t="s">
        <v>45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 t="s">
        <v>0</v>
      </c>
      <c r="AD463" s="2">
        <v>1</v>
      </c>
      <c r="AE463" s="2" t="s">
        <v>46</v>
      </c>
    </row>
    <row r="464" spans="1:31" ht="25.5" x14ac:dyDescent="0.2">
      <c r="A464" s="5" t="str">
        <f>HYPERLINK("http://www.patentics.cn/invokexml.do?sf=ShowPatent&amp;spn=CN201021838&amp;sv=9de78b25fd34dc0591bff34f11c12415","CN201021838")</f>
        <v>CN201021838</v>
      </c>
      <c r="B464" s="3" t="s">
        <v>2272</v>
      </c>
      <c r="C464" s="3" t="s">
        <v>2273</v>
      </c>
      <c r="D464" s="3" t="s">
        <v>49</v>
      </c>
      <c r="E464" s="3" t="s">
        <v>50</v>
      </c>
      <c r="F464" s="3" t="s">
        <v>2274</v>
      </c>
      <c r="G464" s="3" t="s">
        <v>457</v>
      </c>
      <c r="H464" s="3" t="s">
        <v>2275</v>
      </c>
      <c r="I464" s="3" t="s">
        <v>2275</v>
      </c>
      <c r="J464" s="3" t="s">
        <v>2276</v>
      </c>
      <c r="K464" s="3" t="s">
        <v>41</v>
      </c>
      <c r="L464" s="3" t="s">
        <v>255</v>
      </c>
      <c r="M464" s="3">
        <v>6</v>
      </c>
      <c r="N464" s="3">
        <v>10</v>
      </c>
      <c r="O464" s="3" t="s">
        <v>55</v>
      </c>
      <c r="P464" s="3" t="s">
        <v>44</v>
      </c>
      <c r="Q464" s="3">
        <v>0</v>
      </c>
      <c r="R464" s="3">
        <v>0</v>
      </c>
      <c r="S464" s="3">
        <v>0</v>
      </c>
      <c r="T464" s="3">
        <v>0</v>
      </c>
      <c r="U464" s="3">
        <v>1</v>
      </c>
      <c r="V464" s="3" t="s">
        <v>553</v>
      </c>
      <c r="W464" s="3">
        <v>0</v>
      </c>
      <c r="X464" s="3">
        <v>1</v>
      </c>
      <c r="Y464" s="3">
        <v>1</v>
      </c>
      <c r="Z464" s="3">
        <v>1</v>
      </c>
      <c r="AA464" s="3">
        <v>1</v>
      </c>
      <c r="AB464" s="3">
        <v>2</v>
      </c>
      <c r="AC464" s="3">
        <v>12</v>
      </c>
      <c r="AD464" s="3" t="s">
        <v>0</v>
      </c>
      <c r="AE464" s="3" t="s">
        <v>57</v>
      </c>
    </row>
    <row r="465" spans="1:31" ht="25.5" x14ac:dyDescent="0.2">
      <c r="A465" s="4" t="str">
        <f>HYPERLINK("http://www.patentics.cn/invokexml.do?sf=ShowPatent&amp;spn=CN202119062&amp;sv=b7d58e675840f43b33b5588cbc5cb890","CN202119062")</f>
        <v>CN202119062</v>
      </c>
      <c r="B465" s="2" t="s">
        <v>2277</v>
      </c>
      <c r="C465" s="2" t="s">
        <v>2278</v>
      </c>
      <c r="D465" s="2" t="s">
        <v>35</v>
      </c>
      <c r="E465" s="2" t="s">
        <v>36</v>
      </c>
      <c r="F465" s="2" t="s">
        <v>2270</v>
      </c>
      <c r="G465" s="2" t="s">
        <v>654</v>
      </c>
      <c r="H465" s="2" t="s">
        <v>0</v>
      </c>
      <c r="I465" s="2" t="s">
        <v>494</v>
      </c>
      <c r="J465" s="2" t="s">
        <v>2271</v>
      </c>
      <c r="K465" s="2" t="s">
        <v>41</v>
      </c>
      <c r="L465" s="2" t="s">
        <v>255</v>
      </c>
      <c r="M465" s="2">
        <v>8</v>
      </c>
      <c r="N465" s="2">
        <v>13</v>
      </c>
      <c r="O465" s="2" t="s">
        <v>55</v>
      </c>
      <c r="P465" s="2" t="s">
        <v>44</v>
      </c>
      <c r="Q465" s="2">
        <v>1</v>
      </c>
      <c r="R465" s="2">
        <v>0</v>
      </c>
      <c r="S465" s="2">
        <v>1</v>
      </c>
      <c r="T465" s="2">
        <v>1</v>
      </c>
      <c r="U465" s="2">
        <v>2</v>
      </c>
      <c r="V465" s="2" t="s">
        <v>797</v>
      </c>
      <c r="W465" s="2">
        <v>2</v>
      </c>
      <c r="X465" s="2">
        <v>0</v>
      </c>
      <c r="Y465" s="2">
        <v>1</v>
      </c>
      <c r="Z465" s="2">
        <v>1</v>
      </c>
      <c r="AA465" s="2">
        <v>0</v>
      </c>
      <c r="AB465" s="2">
        <v>0</v>
      </c>
      <c r="AC465" s="2" t="s">
        <v>0</v>
      </c>
      <c r="AD465" s="2">
        <v>1</v>
      </c>
      <c r="AE465" s="2" t="s">
        <v>46</v>
      </c>
    </row>
    <row r="466" spans="1:31" ht="76.5" x14ac:dyDescent="0.2">
      <c r="A466" s="5" t="str">
        <f>HYPERLINK("http://www.patentics.cn/invokexml.do?sf=ShowPatent&amp;spn=CN101344282&amp;sv=3c750291d3458233e14de9f1b9e7760c","CN101344282")</f>
        <v>CN101344282</v>
      </c>
      <c r="B466" s="3" t="s">
        <v>2054</v>
      </c>
      <c r="C466" s="3" t="s">
        <v>258</v>
      </c>
      <c r="D466" s="3" t="s">
        <v>49</v>
      </c>
      <c r="E466" s="3" t="s">
        <v>50</v>
      </c>
      <c r="F466" s="3" t="s">
        <v>263</v>
      </c>
      <c r="G466" s="3" t="s">
        <v>264</v>
      </c>
      <c r="H466" s="3" t="s">
        <v>2055</v>
      </c>
      <c r="I466" s="3" t="s">
        <v>2055</v>
      </c>
      <c r="J466" s="3" t="s">
        <v>1302</v>
      </c>
      <c r="K466" s="3" t="s">
        <v>41</v>
      </c>
      <c r="L466" s="3" t="s">
        <v>42</v>
      </c>
      <c r="M466" s="3">
        <v>8</v>
      </c>
      <c r="N466" s="3">
        <v>35</v>
      </c>
      <c r="O466" s="3" t="s">
        <v>75</v>
      </c>
      <c r="P466" s="3" t="s">
        <v>44</v>
      </c>
      <c r="Q466" s="3">
        <v>1</v>
      </c>
      <c r="R466" s="3">
        <v>0</v>
      </c>
      <c r="S466" s="3">
        <v>1</v>
      </c>
      <c r="T466" s="3">
        <v>1</v>
      </c>
      <c r="U466" s="3">
        <v>3</v>
      </c>
      <c r="V466" s="3" t="s">
        <v>698</v>
      </c>
      <c r="W466" s="3">
        <v>0</v>
      </c>
      <c r="X466" s="3">
        <v>3</v>
      </c>
      <c r="Y466" s="3">
        <v>1</v>
      </c>
      <c r="Z466" s="3">
        <v>1</v>
      </c>
      <c r="AA466" s="3">
        <v>1</v>
      </c>
      <c r="AB466" s="3">
        <v>1</v>
      </c>
      <c r="AC466" s="3">
        <v>12</v>
      </c>
      <c r="AD466" s="3" t="s">
        <v>0</v>
      </c>
      <c r="AE466" s="3" t="s">
        <v>46</v>
      </c>
    </row>
    <row r="467" spans="1:31" ht="38.25" x14ac:dyDescent="0.2">
      <c r="A467" s="4" t="str">
        <f>HYPERLINK("http://www.patentics.cn/invokexml.do?sf=ShowPatent&amp;spn=CN202119019&amp;sv=47fc323db2e7447d86d7b2a9eb4ae428","CN202119019")</f>
        <v>CN202119019</v>
      </c>
      <c r="B467" s="2" t="s">
        <v>2279</v>
      </c>
      <c r="C467" s="2" t="s">
        <v>2280</v>
      </c>
      <c r="D467" s="2" t="s">
        <v>246</v>
      </c>
      <c r="E467" s="2" t="s">
        <v>36</v>
      </c>
      <c r="F467" s="2" t="s">
        <v>492</v>
      </c>
      <c r="G467" s="2" t="s">
        <v>493</v>
      </c>
      <c r="H467" s="2" t="s">
        <v>0</v>
      </c>
      <c r="I467" s="2" t="s">
        <v>494</v>
      </c>
      <c r="J467" s="2" t="s">
        <v>2271</v>
      </c>
      <c r="K467" s="2" t="s">
        <v>41</v>
      </c>
      <c r="L467" s="2" t="s">
        <v>2281</v>
      </c>
      <c r="M467" s="2">
        <v>3</v>
      </c>
      <c r="N467" s="2">
        <v>6</v>
      </c>
      <c r="O467" s="2" t="s">
        <v>55</v>
      </c>
      <c r="P467" s="2" t="s">
        <v>44</v>
      </c>
      <c r="Q467" s="2">
        <v>1</v>
      </c>
      <c r="R467" s="2">
        <v>0</v>
      </c>
      <c r="S467" s="2">
        <v>1</v>
      </c>
      <c r="T467" s="2">
        <v>1</v>
      </c>
      <c r="U467" s="2">
        <v>1</v>
      </c>
      <c r="V467" s="2" t="s">
        <v>177</v>
      </c>
      <c r="W467" s="2">
        <v>1</v>
      </c>
      <c r="X467" s="2">
        <v>0</v>
      </c>
      <c r="Y467" s="2">
        <v>1</v>
      </c>
      <c r="Z467" s="2">
        <v>1</v>
      </c>
      <c r="AA467" s="2">
        <v>0</v>
      </c>
      <c r="AB467" s="2">
        <v>0</v>
      </c>
      <c r="AC467" s="2" t="s">
        <v>0</v>
      </c>
      <c r="AD467" s="2">
        <v>1</v>
      </c>
      <c r="AE467" s="2" t="s">
        <v>46</v>
      </c>
    </row>
    <row r="468" spans="1:31" ht="51" x14ac:dyDescent="0.2">
      <c r="A468" s="5" t="str">
        <f>HYPERLINK("http://www.patentics.cn/invokexml.do?sf=ShowPatent&amp;spn=CN201582948&amp;sv=61ea1fca018eaaf55b18b7d836d2990a","CN201582948")</f>
        <v>CN201582948</v>
      </c>
      <c r="B468" s="3" t="s">
        <v>503</v>
      </c>
      <c r="C468" s="3" t="s">
        <v>504</v>
      </c>
      <c r="D468" s="3" t="s">
        <v>49</v>
      </c>
      <c r="E468" s="3" t="s">
        <v>50</v>
      </c>
      <c r="F468" s="3" t="s">
        <v>505</v>
      </c>
      <c r="G468" s="3" t="s">
        <v>506</v>
      </c>
      <c r="H468" s="3" t="s">
        <v>0</v>
      </c>
      <c r="I468" s="3" t="s">
        <v>507</v>
      </c>
      <c r="J468" s="3" t="s">
        <v>508</v>
      </c>
      <c r="K468" s="3" t="s">
        <v>41</v>
      </c>
      <c r="L468" s="3" t="s">
        <v>91</v>
      </c>
      <c r="M468" s="3">
        <v>10</v>
      </c>
      <c r="N468" s="3">
        <v>18</v>
      </c>
      <c r="O468" s="3" t="s">
        <v>55</v>
      </c>
      <c r="P468" s="3" t="s">
        <v>44</v>
      </c>
      <c r="Q468" s="3">
        <v>0</v>
      </c>
      <c r="R468" s="3">
        <v>0</v>
      </c>
      <c r="S468" s="3">
        <v>0</v>
      </c>
      <c r="T468" s="3">
        <v>0</v>
      </c>
      <c r="U468" s="3">
        <v>9</v>
      </c>
      <c r="V468" s="3" t="s">
        <v>509</v>
      </c>
      <c r="W468" s="3">
        <v>0</v>
      </c>
      <c r="X468" s="3">
        <v>9</v>
      </c>
      <c r="Y468" s="3">
        <v>1</v>
      </c>
      <c r="Z468" s="3">
        <v>1</v>
      </c>
      <c r="AA468" s="3">
        <v>0</v>
      </c>
      <c r="AB468" s="3">
        <v>0</v>
      </c>
      <c r="AC468" s="3">
        <v>12</v>
      </c>
      <c r="AD468" s="3" t="s">
        <v>0</v>
      </c>
      <c r="AE468" s="3" t="s">
        <v>46</v>
      </c>
    </row>
    <row r="469" spans="1:31" ht="25.5" x14ac:dyDescent="0.2">
      <c r="A469" s="4" t="str">
        <f>HYPERLINK("http://www.patentics.cn/invokexml.do?sf=ShowPatent&amp;spn=CN202102772&amp;sv=2ac3915a7530f5b9840828dd6e463962","CN202102772")</f>
        <v>CN202102772</v>
      </c>
      <c r="B469" s="2" t="s">
        <v>2282</v>
      </c>
      <c r="C469" s="2" t="s">
        <v>2283</v>
      </c>
      <c r="D469" s="2" t="s">
        <v>180</v>
      </c>
      <c r="E469" s="2" t="s">
        <v>36</v>
      </c>
      <c r="F469" s="2" t="s">
        <v>2284</v>
      </c>
      <c r="G469" s="2" t="s">
        <v>2284</v>
      </c>
      <c r="H469" s="2" t="s">
        <v>0</v>
      </c>
      <c r="I469" s="2" t="s">
        <v>2285</v>
      </c>
      <c r="J469" s="2" t="s">
        <v>2194</v>
      </c>
      <c r="K469" s="2" t="s">
        <v>2286</v>
      </c>
      <c r="L469" s="2" t="s">
        <v>2287</v>
      </c>
      <c r="M469" s="2">
        <v>2</v>
      </c>
      <c r="N469" s="2">
        <v>13</v>
      </c>
      <c r="O469" s="2" t="s">
        <v>55</v>
      </c>
      <c r="P469" s="2" t="s">
        <v>44</v>
      </c>
      <c r="Q469" s="2">
        <v>1</v>
      </c>
      <c r="R469" s="2">
        <v>0</v>
      </c>
      <c r="S469" s="2">
        <v>1</v>
      </c>
      <c r="T469" s="2">
        <v>1</v>
      </c>
      <c r="U469" s="2">
        <v>2</v>
      </c>
      <c r="V469" s="2" t="s">
        <v>797</v>
      </c>
      <c r="W469" s="2">
        <v>2</v>
      </c>
      <c r="X469" s="2">
        <v>0</v>
      </c>
      <c r="Y469" s="2">
        <v>1</v>
      </c>
      <c r="Z469" s="2">
        <v>1</v>
      </c>
      <c r="AA469" s="2">
        <v>0</v>
      </c>
      <c r="AB469" s="2">
        <v>0</v>
      </c>
      <c r="AC469" s="2" t="s">
        <v>0</v>
      </c>
      <c r="AD469" s="2">
        <v>1</v>
      </c>
      <c r="AE469" s="2" t="s">
        <v>46</v>
      </c>
    </row>
    <row r="470" spans="1:31" ht="25.5" x14ac:dyDescent="0.2">
      <c r="A470" s="5" t="str">
        <f>HYPERLINK("http://www.patentics.cn/invokexml.do?sf=ShowPatent&amp;spn=CN201765862&amp;sv=8ca76bbe7fa5fc706556c28ed8e41783","CN201765862")</f>
        <v>CN201765862</v>
      </c>
      <c r="B470" s="3" t="s">
        <v>2288</v>
      </c>
      <c r="C470" s="3" t="s">
        <v>2289</v>
      </c>
      <c r="D470" s="3" t="s">
        <v>2290</v>
      </c>
      <c r="E470" s="3" t="s">
        <v>50</v>
      </c>
      <c r="F470" s="3" t="s">
        <v>2291</v>
      </c>
      <c r="G470" s="3" t="s">
        <v>2292</v>
      </c>
      <c r="H470" s="3" t="s">
        <v>0</v>
      </c>
      <c r="I470" s="3" t="s">
        <v>2293</v>
      </c>
      <c r="J470" s="3" t="s">
        <v>1406</v>
      </c>
      <c r="K470" s="3" t="s">
        <v>2286</v>
      </c>
      <c r="L470" s="3" t="s">
        <v>2287</v>
      </c>
      <c r="M470" s="3">
        <v>2</v>
      </c>
      <c r="N470" s="3">
        <v>9</v>
      </c>
      <c r="O470" s="3" t="s">
        <v>55</v>
      </c>
      <c r="P470" s="3" t="s">
        <v>44</v>
      </c>
      <c r="Q470" s="3">
        <v>0</v>
      </c>
      <c r="R470" s="3">
        <v>0</v>
      </c>
      <c r="S470" s="3">
        <v>0</v>
      </c>
      <c r="T470" s="3">
        <v>0</v>
      </c>
      <c r="U470" s="3">
        <v>1</v>
      </c>
      <c r="V470" s="3" t="s">
        <v>553</v>
      </c>
      <c r="W470" s="3">
        <v>0</v>
      </c>
      <c r="X470" s="3">
        <v>1</v>
      </c>
      <c r="Y470" s="3">
        <v>1</v>
      </c>
      <c r="Z470" s="3">
        <v>1</v>
      </c>
      <c r="AA470" s="3">
        <v>0</v>
      </c>
      <c r="AB470" s="3">
        <v>0</v>
      </c>
      <c r="AC470" s="3">
        <v>12</v>
      </c>
      <c r="AD470" s="3" t="s">
        <v>0</v>
      </c>
      <c r="AE470" s="3" t="s">
        <v>46</v>
      </c>
    </row>
    <row r="471" spans="1:31" ht="38.25" x14ac:dyDescent="0.2">
      <c r="A471" s="4" t="str">
        <f>HYPERLINK("http://www.patentics.cn/invokexml.do?sf=ShowPatent&amp;spn=CN202101335&amp;sv=3fefe8ab88624985bfedd847a0d9f6d0","CN202101335")</f>
        <v>CN202101335</v>
      </c>
      <c r="B471" s="2" t="s">
        <v>2294</v>
      </c>
      <c r="C471" s="2" t="s">
        <v>2295</v>
      </c>
      <c r="D471" s="2" t="s">
        <v>246</v>
      </c>
      <c r="E471" s="2" t="s">
        <v>36</v>
      </c>
      <c r="F471" s="2" t="s">
        <v>1672</v>
      </c>
      <c r="G471" s="2" t="s">
        <v>1673</v>
      </c>
      <c r="H471" s="2" t="s">
        <v>0</v>
      </c>
      <c r="I471" s="2" t="s">
        <v>494</v>
      </c>
      <c r="J471" s="2" t="s">
        <v>2194</v>
      </c>
      <c r="K471" s="2" t="s">
        <v>41</v>
      </c>
      <c r="L471" s="2" t="s">
        <v>42</v>
      </c>
      <c r="M471" s="2">
        <v>4</v>
      </c>
      <c r="N471" s="2">
        <v>27</v>
      </c>
      <c r="O471" s="2" t="s">
        <v>55</v>
      </c>
      <c r="P471" s="2" t="s">
        <v>44</v>
      </c>
      <c r="Q471" s="2">
        <v>1</v>
      </c>
      <c r="R471" s="2">
        <v>0</v>
      </c>
      <c r="S471" s="2">
        <v>1</v>
      </c>
      <c r="T471" s="2">
        <v>1</v>
      </c>
      <c r="U471" s="2">
        <v>0</v>
      </c>
      <c r="V471" s="2" t="s">
        <v>45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 t="s">
        <v>0</v>
      </c>
      <c r="AD471" s="2">
        <v>1</v>
      </c>
      <c r="AE471" s="2" t="s">
        <v>46</v>
      </c>
    </row>
    <row r="472" spans="1:31" ht="51" x14ac:dyDescent="0.2">
      <c r="A472" s="5" t="str">
        <f>HYPERLINK("http://www.patentics.cn/invokexml.do?sf=ShowPatent&amp;spn=CN201582948&amp;sv=61ea1fca018eaaf55b18b7d836d2990a","CN201582948")</f>
        <v>CN201582948</v>
      </c>
      <c r="B472" s="3" t="s">
        <v>503</v>
      </c>
      <c r="C472" s="3" t="s">
        <v>504</v>
      </c>
      <c r="D472" s="3" t="s">
        <v>49</v>
      </c>
      <c r="E472" s="3" t="s">
        <v>50</v>
      </c>
      <c r="F472" s="3" t="s">
        <v>505</v>
      </c>
      <c r="G472" s="3" t="s">
        <v>506</v>
      </c>
      <c r="H472" s="3" t="s">
        <v>0</v>
      </c>
      <c r="I472" s="3" t="s">
        <v>507</v>
      </c>
      <c r="J472" s="3" t="s">
        <v>508</v>
      </c>
      <c r="K472" s="3" t="s">
        <v>41</v>
      </c>
      <c r="L472" s="3" t="s">
        <v>91</v>
      </c>
      <c r="M472" s="3">
        <v>10</v>
      </c>
      <c r="N472" s="3">
        <v>18</v>
      </c>
      <c r="O472" s="3" t="s">
        <v>55</v>
      </c>
      <c r="P472" s="3" t="s">
        <v>44</v>
      </c>
      <c r="Q472" s="3">
        <v>0</v>
      </c>
      <c r="R472" s="3">
        <v>0</v>
      </c>
      <c r="S472" s="3">
        <v>0</v>
      </c>
      <c r="T472" s="3">
        <v>0</v>
      </c>
      <c r="U472" s="3">
        <v>9</v>
      </c>
      <c r="V472" s="3" t="s">
        <v>509</v>
      </c>
      <c r="W472" s="3">
        <v>0</v>
      </c>
      <c r="X472" s="3">
        <v>9</v>
      </c>
      <c r="Y472" s="3">
        <v>1</v>
      </c>
      <c r="Z472" s="3">
        <v>1</v>
      </c>
      <c r="AA472" s="3">
        <v>0</v>
      </c>
      <c r="AB472" s="3">
        <v>0</v>
      </c>
      <c r="AC472" s="3">
        <v>12</v>
      </c>
      <c r="AD472" s="3" t="s">
        <v>0</v>
      </c>
      <c r="AE472" s="3" t="s">
        <v>46</v>
      </c>
    </row>
    <row r="473" spans="1:31" ht="25.5" x14ac:dyDescent="0.2">
      <c r="A473" s="4" t="str">
        <f>HYPERLINK("http://www.patentics.cn/invokexml.do?sf=ShowPatent&amp;spn=CN102278793&amp;sv=f913b86b5388ff7811e97a490e2cffd2","CN102278793")</f>
        <v>CN102278793</v>
      </c>
      <c r="B473" s="2" t="s">
        <v>2296</v>
      </c>
      <c r="C473" s="2" t="s">
        <v>2179</v>
      </c>
      <c r="D473" s="2" t="s">
        <v>246</v>
      </c>
      <c r="E473" s="2" t="s">
        <v>36</v>
      </c>
      <c r="F473" s="2" t="s">
        <v>2241</v>
      </c>
      <c r="G473" s="2" t="s">
        <v>2241</v>
      </c>
      <c r="H473" s="2" t="s">
        <v>0</v>
      </c>
      <c r="I473" s="2" t="s">
        <v>2242</v>
      </c>
      <c r="J473" s="2" t="s">
        <v>112</v>
      </c>
      <c r="K473" s="2" t="s">
        <v>41</v>
      </c>
      <c r="L473" s="2" t="s">
        <v>42</v>
      </c>
      <c r="M473" s="2">
        <v>6</v>
      </c>
      <c r="N473" s="2">
        <v>17</v>
      </c>
      <c r="O473" s="2" t="s">
        <v>75</v>
      </c>
      <c r="P473" s="2" t="s">
        <v>44</v>
      </c>
      <c r="Q473" s="2">
        <v>1</v>
      </c>
      <c r="R473" s="2">
        <v>0</v>
      </c>
      <c r="S473" s="2">
        <v>1</v>
      </c>
      <c r="T473" s="2">
        <v>1</v>
      </c>
      <c r="U473" s="2">
        <v>2</v>
      </c>
      <c r="V473" s="2" t="s">
        <v>2297</v>
      </c>
      <c r="W473" s="2">
        <v>0</v>
      </c>
      <c r="X473" s="2">
        <v>2</v>
      </c>
      <c r="Y473" s="2">
        <v>1</v>
      </c>
      <c r="Z473" s="2">
        <v>1</v>
      </c>
      <c r="AA473" s="2">
        <v>0</v>
      </c>
      <c r="AB473" s="2">
        <v>0</v>
      </c>
      <c r="AC473" s="2" t="s">
        <v>0</v>
      </c>
      <c r="AD473" s="2">
        <v>1</v>
      </c>
      <c r="AE473" s="2" t="s">
        <v>100</v>
      </c>
    </row>
    <row r="474" spans="1:31" ht="51" x14ac:dyDescent="0.2">
      <c r="A474" s="5" t="str">
        <f>HYPERLINK("http://www.patentics.cn/invokexml.do?sf=ShowPatent&amp;spn=CN2769726&amp;sv=97058c0519cbc8ac647216340611c84a","CN2769726")</f>
        <v>CN2769726</v>
      </c>
      <c r="B474" s="3" t="s">
        <v>2244</v>
      </c>
      <c r="C474" s="3" t="s">
        <v>2245</v>
      </c>
      <c r="D474" s="3" t="s">
        <v>49</v>
      </c>
      <c r="E474" s="3" t="s">
        <v>50</v>
      </c>
      <c r="F474" s="3" t="s">
        <v>2246</v>
      </c>
      <c r="G474" s="3" t="s">
        <v>52</v>
      </c>
      <c r="H474" s="3" t="s">
        <v>0</v>
      </c>
      <c r="I474" s="3" t="s">
        <v>2247</v>
      </c>
      <c r="J474" s="3" t="s">
        <v>2248</v>
      </c>
      <c r="K474" s="3" t="s">
        <v>41</v>
      </c>
      <c r="L474" s="3" t="s">
        <v>42</v>
      </c>
      <c r="M474" s="3">
        <v>10</v>
      </c>
      <c r="N474" s="3">
        <v>26</v>
      </c>
      <c r="O474" s="3" t="s">
        <v>55</v>
      </c>
      <c r="P474" s="3" t="s">
        <v>44</v>
      </c>
      <c r="Q474" s="3">
        <v>0</v>
      </c>
      <c r="R474" s="3">
        <v>0</v>
      </c>
      <c r="S474" s="3">
        <v>0</v>
      </c>
      <c r="T474" s="3">
        <v>0</v>
      </c>
      <c r="U474" s="3">
        <v>3</v>
      </c>
      <c r="V474" s="3" t="s">
        <v>698</v>
      </c>
      <c r="W474" s="3">
        <v>0</v>
      </c>
      <c r="X474" s="3">
        <v>3</v>
      </c>
      <c r="Y474" s="3">
        <v>1</v>
      </c>
      <c r="Z474" s="3">
        <v>1</v>
      </c>
      <c r="AA474" s="3">
        <v>0</v>
      </c>
      <c r="AB474" s="3">
        <v>0</v>
      </c>
      <c r="AC474" s="3">
        <v>12</v>
      </c>
      <c r="AD474" s="3" t="s">
        <v>0</v>
      </c>
      <c r="AE474" s="3" t="s">
        <v>57</v>
      </c>
    </row>
    <row r="475" spans="1:31" ht="38.25" x14ac:dyDescent="0.2">
      <c r="A475" s="4" t="str">
        <f>HYPERLINK("http://www.patentics.cn/invokexml.do?sf=ShowPatent&amp;spn=CN102269447&amp;sv=abb26fcbc2e1c422c7f39cab93167a5b","CN102269447")</f>
        <v>CN102269447</v>
      </c>
      <c r="B475" s="2" t="s">
        <v>1670</v>
      </c>
      <c r="C475" s="2" t="s">
        <v>1671</v>
      </c>
      <c r="D475" s="2" t="s">
        <v>246</v>
      </c>
      <c r="E475" s="2" t="s">
        <v>36</v>
      </c>
      <c r="F475" s="2" t="s">
        <v>1672</v>
      </c>
      <c r="G475" s="2" t="s">
        <v>1673</v>
      </c>
      <c r="H475" s="2" t="s">
        <v>1674</v>
      </c>
      <c r="I475" s="2" t="s">
        <v>1674</v>
      </c>
      <c r="J475" s="2" t="s">
        <v>2298</v>
      </c>
      <c r="K475" s="2" t="s">
        <v>41</v>
      </c>
      <c r="L475" s="2" t="s">
        <v>42</v>
      </c>
      <c r="M475" s="2">
        <v>10</v>
      </c>
      <c r="N475" s="2">
        <v>28</v>
      </c>
      <c r="O475" s="2" t="s">
        <v>75</v>
      </c>
      <c r="P475" s="2" t="s">
        <v>44</v>
      </c>
      <c r="Q475" s="2">
        <v>2</v>
      </c>
      <c r="R475" s="2">
        <v>0</v>
      </c>
      <c r="S475" s="2">
        <v>2</v>
      </c>
      <c r="T475" s="2">
        <v>2</v>
      </c>
      <c r="U475" s="2">
        <v>0</v>
      </c>
      <c r="V475" s="2" t="s">
        <v>45</v>
      </c>
      <c r="W475" s="2">
        <v>0</v>
      </c>
      <c r="X475" s="2">
        <v>0</v>
      </c>
      <c r="Y475" s="2">
        <v>0</v>
      </c>
      <c r="Z475" s="2">
        <v>0</v>
      </c>
      <c r="AA475" s="2">
        <v>1</v>
      </c>
      <c r="AB475" s="2">
        <v>1</v>
      </c>
      <c r="AC475" s="2" t="s">
        <v>0</v>
      </c>
      <c r="AD475" s="2">
        <v>1</v>
      </c>
      <c r="AE475" s="2" t="s">
        <v>46</v>
      </c>
    </row>
    <row r="476" spans="1:31" ht="51" x14ac:dyDescent="0.2">
      <c r="A476" s="5" t="str">
        <f>HYPERLINK("http://www.patentics.cn/invokexml.do?sf=ShowPatent&amp;spn=CN201582948&amp;sv=61ea1fca018eaaf55b18b7d836d2990a","CN201582948")</f>
        <v>CN201582948</v>
      </c>
      <c r="B476" s="3" t="s">
        <v>503</v>
      </c>
      <c r="C476" s="3" t="s">
        <v>504</v>
      </c>
      <c r="D476" s="3" t="s">
        <v>49</v>
      </c>
      <c r="E476" s="3" t="s">
        <v>50</v>
      </c>
      <c r="F476" s="3" t="s">
        <v>505</v>
      </c>
      <c r="G476" s="3" t="s">
        <v>506</v>
      </c>
      <c r="H476" s="3" t="s">
        <v>0</v>
      </c>
      <c r="I476" s="3" t="s">
        <v>507</v>
      </c>
      <c r="J476" s="3" t="s">
        <v>508</v>
      </c>
      <c r="K476" s="3" t="s">
        <v>41</v>
      </c>
      <c r="L476" s="3" t="s">
        <v>91</v>
      </c>
      <c r="M476" s="3">
        <v>10</v>
      </c>
      <c r="N476" s="3">
        <v>18</v>
      </c>
      <c r="O476" s="3" t="s">
        <v>55</v>
      </c>
      <c r="P476" s="3" t="s">
        <v>44</v>
      </c>
      <c r="Q476" s="3">
        <v>0</v>
      </c>
      <c r="R476" s="3">
        <v>0</v>
      </c>
      <c r="S476" s="3">
        <v>0</v>
      </c>
      <c r="T476" s="3">
        <v>0</v>
      </c>
      <c r="U476" s="3">
        <v>9</v>
      </c>
      <c r="V476" s="3" t="s">
        <v>509</v>
      </c>
      <c r="W476" s="3">
        <v>0</v>
      </c>
      <c r="X476" s="3">
        <v>9</v>
      </c>
      <c r="Y476" s="3">
        <v>1</v>
      </c>
      <c r="Z476" s="3">
        <v>1</v>
      </c>
      <c r="AA476" s="3">
        <v>0</v>
      </c>
      <c r="AB476" s="3">
        <v>0</v>
      </c>
      <c r="AC476" s="3">
        <v>12</v>
      </c>
      <c r="AD476" s="3" t="s">
        <v>0</v>
      </c>
      <c r="AE476" s="3" t="s">
        <v>46</v>
      </c>
    </row>
    <row r="477" spans="1:31" ht="38.25" x14ac:dyDescent="0.2">
      <c r="A477" s="4" t="str">
        <f>HYPERLINK("http://www.patentics.cn/invokexml.do?sf=ShowPatent&amp;spn=CN102226550&amp;sv=1b6b2007df74654a7c2d8232c3e96b11","CN102226550")</f>
        <v>CN102226550</v>
      </c>
      <c r="B477" s="2" t="s">
        <v>490</v>
      </c>
      <c r="C477" s="2" t="s">
        <v>2299</v>
      </c>
      <c r="D477" s="2" t="s">
        <v>246</v>
      </c>
      <c r="E477" s="2" t="s">
        <v>36</v>
      </c>
      <c r="F477" s="2" t="s">
        <v>492</v>
      </c>
      <c r="G477" s="2" t="s">
        <v>493</v>
      </c>
      <c r="H477" s="2" t="s">
        <v>494</v>
      </c>
      <c r="I477" s="2" t="s">
        <v>494</v>
      </c>
      <c r="J477" s="2" t="s">
        <v>2038</v>
      </c>
      <c r="K477" s="2" t="s">
        <v>41</v>
      </c>
      <c r="L477" s="2" t="s">
        <v>42</v>
      </c>
      <c r="M477" s="2">
        <v>10</v>
      </c>
      <c r="N477" s="2">
        <v>6</v>
      </c>
      <c r="O477" s="2" t="s">
        <v>75</v>
      </c>
      <c r="P477" s="2" t="s">
        <v>44</v>
      </c>
      <c r="Q477" s="2">
        <v>1</v>
      </c>
      <c r="R477" s="2">
        <v>0</v>
      </c>
      <c r="S477" s="2">
        <v>1</v>
      </c>
      <c r="T477" s="2">
        <v>1</v>
      </c>
      <c r="U477" s="2">
        <v>0</v>
      </c>
      <c r="V477" s="2" t="s">
        <v>45</v>
      </c>
      <c r="W477" s="2">
        <v>0</v>
      </c>
      <c r="X477" s="2">
        <v>0</v>
      </c>
      <c r="Y477" s="2">
        <v>0</v>
      </c>
      <c r="Z477" s="2">
        <v>0</v>
      </c>
      <c r="AA477" s="2">
        <v>1</v>
      </c>
      <c r="AB477" s="2">
        <v>1</v>
      </c>
      <c r="AC477" s="2" t="s">
        <v>0</v>
      </c>
      <c r="AD477" s="2">
        <v>1</v>
      </c>
      <c r="AE477" s="2" t="s">
        <v>46</v>
      </c>
    </row>
    <row r="478" spans="1:31" ht="51" x14ac:dyDescent="0.2">
      <c r="A478" s="5" t="str">
        <f>HYPERLINK("http://www.patentics.cn/invokexml.do?sf=ShowPatent&amp;spn=CN201582948&amp;sv=61ea1fca018eaaf55b18b7d836d2990a","CN201582948")</f>
        <v>CN201582948</v>
      </c>
      <c r="B478" s="3" t="s">
        <v>503</v>
      </c>
      <c r="C478" s="3" t="s">
        <v>504</v>
      </c>
      <c r="D478" s="3" t="s">
        <v>49</v>
      </c>
      <c r="E478" s="3" t="s">
        <v>50</v>
      </c>
      <c r="F478" s="3" t="s">
        <v>505</v>
      </c>
      <c r="G478" s="3" t="s">
        <v>506</v>
      </c>
      <c r="H478" s="3" t="s">
        <v>0</v>
      </c>
      <c r="I478" s="3" t="s">
        <v>507</v>
      </c>
      <c r="J478" s="3" t="s">
        <v>508</v>
      </c>
      <c r="K478" s="3" t="s">
        <v>41</v>
      </c>
      <c r="L478" s="3" t="s">
        <v>91</v>
      </c>
      <c r="M478" s="3">
        <v>10</v>
      </c>
      <c r="N478" s="3">
        <v>18</v>
      </c>
      <c r="O478" s="3" t="s">
        <v>55</v>
      </c>
      <c r="P478" s="3" t="s">
        <v>44</v>
      </c>
      <c r="Q478" s="3">
        <v>0</v>
      </c>
      <c r="R478" s="3">
        <v>0</v>
      </c>
      <c r="S478" s="3">
        <v>0</v>
      </c>
      <c r="T478" s="3">
        <v>0</v>
      </c>
      <c r="U478" s="3">
        <v>9</v>
      </c>
      <c r="V478" s="3" t="s">
        <v>509</v>
      </c>
      <c r="W478" s="3">
        <v>0</v>
      </c>
      <c r="X478" s="3">
        <v>9</v>
      </c>
      <c r="Y478" s="3">
        <v>1</v>
      </c>
      <c r="Z478" s="3">
        <v>1</v>
      </c>
      <c r="AA478" s="3">
        <v>0</v>
      </c>
      <c r="AB478" s="3">
        <v>0</v>
      </c>
      <c r="AC478" s="3">
        <v>12</v>
      </c>
      <c r="AD478" s="3" t="s">
        <v>0</v>
      </c>
      <c r="AE478" s="3" t="s">
        <v>46</v>
      </c>
    </row>
    <row r="479" spans="1:31" ht="38.25" x14ac:dyDescent="0.2">
      <c r="A479" s="4" t="str">
        <f>HYPERLINK("http://www.patentics.cn/invokexml.do?sf=ShowPatent&amp;spn=CN102213463&amp;sv=62ffecf39b43d9fbdf49f76d42fc7732","CN102213463")</f>
        <v>CN102213463</v>
      </c>
      <c r="B479" s="2" t="s">
        <v>1684</v>
      </c>
      <c r="C479" s="2" t="s">
        <v>1685</v>
      </c>
      <c r="D479" s="2" t="s">
        <v>246</v>
      </c>
      <c r="E479" s="2" t="s">
        <v>36</v>
      </c>
      <c r="F479" s="2" t="s">
        <v>1672</v>
      </c>
      <c r="G479" s="2" t="s">
        <v>1673</v>
      </c>
      <c r="H479" s="2" t="s">
        <v>494</v>
      </c>
      <c r="I479" s="2" t="s">
        <v>494</v>
      </c>
      <c r="J479" s="2" t="s">
        <v>2218</v>
      </c>
      <c r="K479" s="2" t="s">
        <v>41</v>
      </c>
      <c r="L479" s="2" t="s">
        <v>42</v>
      </c>
      <c r="M479" s="2">
        <v>9</v>
      </c>
      <c r="N479" s="2">
        <v>27</v>
      </c>
      <c r="O479" s="2" t="s">
        <v>75</v>
      </c>
      <c r="P479" s="2" t="s">
        <v>44</v>
      </c>
      <c r="Q479" s="2">
        <v>1</v>
      </c>
      <c r="R479" s="2">
        <v>0</v>
      </c>
      <c r="S479" s="2">
        <v>1</v>
      </c>
      <c r="T479" s="2">
        <v>1</v>
      </c>
      <c r="U479" s="2">
        <v>0</v>
      </c>
      <c r="V479" s="2" t="s">
        <v>45</v>
      </c>
      <c r="W479" s="2">
        <v>0</v>
      </c>
      <c r="X479" s="2">
        <v>0</v>
      </c>
      <c r="Y479" s="2">
        <v>0</v>
      </c>
      <c r="Z479" s="2">
        <v>0</v>
      </c>
      <c r="AA479" s="2">
        <v>1</v>
      </c>
      <c r="AB479" s="2">
        <v>1</v>
      </c>
      <c r="AC479" s="2" t="s">
        <v>0</v>
      </c>
      <c r="AD479" s="2">
        <v>1</v>
      </c>
      <c r="AE479" s="2" t="s">
        <v>46</v>
      </c>
    </row>
    <row r="480" spans="1:31" ht="51" x14ac:dyDescent="0.2">
      <c r="A480" s="5" t="str">
        <f>HYPERLINK("http://www.patentics.cn/invokexml.do?sf=ShowPatent&amp;spn=CN201582948&amp;sv=61ea1fca018eaaf55b18b7d836d2990a","CN201582948")</f>
        <v>CN201582948</v>
      </c>
      <c r="B480" s="3" t="s">
        <v>503</v>
      </c>
      <c r="C480" s="3" t="s">
        <v>504</v>
      </c>
      <c r="D480" s="3" t="s">
        <v>49</v>
      </c>
      <c r="E480" s="3" t="s">
        <v>50</v>
      </c>
      <c r="F480" s="3" t="s">
        <v>505</v>
      </c>
      <c r="G480" s="3" t="s">
        <v>506</v>
      </c>
      <c r="H480" s="3" t="s">
        <v>0</v>
      </c>
      <c r="I480" s="3" t="s">
        <v>507</v>
      </c>
      <c r="J480" s="3" t="s">
        <v>508</v>
      </c>
      <c r="K480" s="3" t="s">
        <v>41</v>
      </c>
      <c r="L480" s="3" t="s">
        <v>91</v>
      </c>
      <c r="M480" s="3">
        <v>10</v>
      </c>
      <c r="N480" s="3">
        <v>18</v>
      </c>
      <c r="O480" s="3" t="s">
        <v>55</v>
      </c>
      <c r="P480" s="3" t="s">
        <v>44</v>
      </c>
      <c r="Q480" s="3">
        <v>0</v>
      </c>
      <c r="R480" s="3">
        <v>0</v>
      </c>
      <c r="S480" s="3">
        <v>0</v>
      </c>
      <c r="T480" s="3">
        <v>0</v>
      </c>
      <c r="U480" s="3">
        <v>9</v>
      </c>
      <c r="V480" s="3" t="s">
        <v>509</v>
      </c>
      <c r="W480" s="3">
        <v>0</v>
      </c>
      <c r="X480" s="3">
        <v>9</v>
      </c>
      <c r="Y480" s="3">
        <v>1</v>
      </c>
      <c r="Z480" s="3">
        <v>1</v>
      </c>
      <c r="AA480" s="3">
        <v>0</v>
      </c>
      <c r="AB480" s="3">
        <v>0</v>
      </c>
      <c r="AC480" s="3">
        <v>12</v>
      </c>
      <c r="AD480" s="3" t="s">
        <v>0</v>
      </c>
      <c r="AE480" s="3" t="s">
        <v>46</v>
      </c>
    </row>
    <row r="481" spans="1:31" ht="25.5" x14ac:dyDescent="0.2">
      <c r="A481" s="4" t="str">
        <f>HYPERLINK("http://www.patentics.cn/invokexml.do?sf=ShowPatent&amp;spn=CN201992783&amp;sv=521799b665dba756c4a27fa4dffc89f7","CN201992783")</f>
        <v>CN201992783</v>
      </c>
      <c r="B481" s="2" t="s">
        <v>2300</v>
      </c>
      <c r="C481" s="2" t="s">
        <v>2301</v>
      </c>
      <c r="D481" s="2" t="s">
        <v>246</v>
      </c>
      <c r="E481" s="2" t="s">
        <v>36</v>
      </c>
      <c r="F481" s="2" t="s">
        <v>2302</v>
      </c>
      <c r="G481" s="2" t="s">
        <v>2303</v>
      </c>
      <c r="H481" s="2" t="s">
        <v>0</v>
      </c>
      <c r="I481" s="2" t="s">
        <v>2304</v>
      </c>
      <c r="J481" s="2" t="s">
        <v>74</v>
      </c>
      <c r="K481" s="2" t="s">
        <v>41</v>
      </c>
      <c r="L481" s="2" t="s">
        <v>453</v>
      </c>
      <c r="M481" s="2">
        <v>5</v>
      </c>
      <c r="N481" s="2">
        <v>8</v>
      </c>
      <c r="O481" s="2" t="s">
        <v>55</v>
      </c>
      <c r="P481" s="2" t="s">
        <v>44</v>
      </c>
      <c r="Q481" s="2">
        <v>2</v>
      </c>
      <c r="R481" s="2">
        <v>1</v>
      </c>
      <c r="S481" s="2">
        <v>1</v>
      </c>
      <c r="T481" s="2">
        <v>2</v>
      </c>
      <c r="U481" s="2">
        <v>0</v>
      </c>
      <c r="V481" s="2" t="s">
        <v>45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 t="s">
        <v>0</v>
      </c>
      <c r="AD481" s="2">
        <v>1</v>
      </c>
      <c r="AE481" s="2" t="s">
        <v>46</v>
      </c>
    </row>
    <row r="482" spans="1:31" ht="51" x14ac:dyDescent="0.2">
      <c r="A482" s="5" t="str">
        <f>HYPERLINK("http://www.patentics.cn/invokexml.do?sf=ShowPatent&amp;spn=CN200961925&amp;sv=dd11dc5731cd12c3adfc1c4aaa3a3668","CN200961925")</f>
        <v>CN200961925</v>
      </c>
      <c r="B482" s="3" t="s">
        <v>2305</v>
      </c>
      <c r="C482" s="3" t="s">
        <v>2306</v>
      </c>
      <c r="D482" s="3" t="s">
        <v>49</v>
      </c>
      <c r="E482" s="3" t="s">
        <v>50</v>
      </c>
      <c r="F482" s="3" t="s">
        <v>2307</v>
      </c>
      <c r="G482" s="3" t="s">
        <v>253</v>
      </c>
      <c r="H482" s="3" t="s">
        <v>0</v>
      </c>
      <c r="I482" s="3" t="s">
        <v>2308</v>
      </c>
      <c r="J482" s="3" t="s">
        <v>2309</v>
      </c>
      <c r="K482" s="3" t="s">
        <v>41</v>
      </c>
      <c r="L482" s="3" t="s">
        <v>91</v>
      </c>
      <c r="M482" s="3">
        <v>8</v>
      </c>
      <c r="N482" s="3">
        <v>22</v>
      </c>
      <c r="O482" s="3" t="s">
        <v>55</v>
      </c>
      <c r="P482" s="3" t="s">
        <v>44</v>
      </c>
      <c r="Q482" s="3">
        <v>0</v>
      </c>
      <c r="R482" s="3">
        <v>0</v>
      </c>
      <c r="S482" s="3">
        <v>0</v>
      </c>
      <c r="T482" s="3">
        <v>0</v>
      </c>
      <c r="U482" s="3">
        <v>3</v>
      </c>
      <c r="V482" s="3" t="s">
        <v>872</v>
      </c>
      <c r="W482" s="3">
        <v>0</v>
      </c>
      <c r="X482" s="3">
        <v>3</v>
      </c>
      <c r="Y482" s="3">
        <v>3</v>
      </c>
      <c r="Z482" s="3">
        <v>1</v>
      </c>
      <c r="AA482" s="3">
        <v>0</v>
      </c>
      <c r="AB482" s="3">
        <v>0</v>
      </c>
      <c r="AC482" s="3">
        <v>12</v>
      </c>
      <c r="AD482" s="3" t="s">
        <v>0</v>
      </c>
      <c r="AE482" s="3" t="s">
        <v>57</v>
      </c>
    </row>
    <row r="483" spans="1:31" ht="25.5" x14ac:dyDescent="0.2">
      <c r="A483" s="4" t="str">
        <f>HYPERLINK("http://www.patentics.cn/invokexml.do?sf=ShowPatent&amp;spn=CN201992766&amp;sv=6d42e5ee1e56375b591087d1a12416f2","CN201992766")</f>
        <v>CN201992766</v>
      </c>
      <c r="B483" s="2" t="s">
        <v>2310</v>
      </c>
      <c r="C483" s="2" t="s">
        <v>2311</v>
      </c>
      <c r="D483" s="2" t="s">
        <v>246</v>
      </c>
      <c r="E483" s="2" t="s">
        <v>36</v>
      </c>
      <c r="F483" s="2" t="s">
        <v>2312</v>
      </c>
      <c r="G483" s="2" t="s">
        <v>2313</v>
      </c>
      <c r="H483" s="2" t="s">
        <v>0</v>
      </c>
      <c r="I483" s="2" t="s">
        <v>2314</v>
      </c>
      <c r="J483" s="2" t="s">
        <v>74</v>
      </c>
      <c r="K483" s="2" t="s">
        <v>41</v>
      </c>
      <c r="L483" s="2" t="s">
        <v>91</v>
      </c>
      <c r="M483" s="2">
        <v>9</v>
      </c>
      <c r="N483" s="2">
        <v>8</v>
      </c>
      <c r="O483" s="2" t="s">
        <v>55</v>
      </c>
      <c r="P483" s="2" t="s">
        <v>44</v>
      </c>
      <c r="Q483" s="2">
        <v>2</v>
      </c>
      <c r="R483" s="2">
        <v>0</v>
      </c>
      <c r="S483" s="2">
        <v>2</v>
      </c>
      <c r="T483" s="2">
        <v>2</v>
      </c>
      <c r="U483" s="2">
        <v>0</v>
      </c>
      <c r="V483" s="2" t="s">
        <v>45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 t="s">
        <v>0</v>
      </c>
      <c r="AD483" s="2">
        <v>1</v>
      </c>
      <c r="AE483" s="2" t="s">
        <v>46</v>
      </c>
    </row>
    <row r="484" spans="1:31" ht="38.25" x14ac:dyDescent="0.2">
      <c r="A484" s="5" t="str">
        <f>HYPERLINK("http://www.patentics.cn/invokexml.do?sf=ShowPatent&amp;spn=CN201497123&amp;sv=bd7ba8ddfb1a2c58b6eaed0ac2af6f6d","CN201497123")</f>
        <v>CN201497123</v>
      </c>
      <c r="B484" s="3" t="s">
        <v>2315</v>
      </c>
      <c r="C484" s="3" t="s">
        <v>2316</v>
      </c>
      <c r="D484" s="3" t="s">
        <v>49</v>
      </c>
      <c r="E484" s="3" t="s">
        <v>50</v>
      </c>
      <c r="F484" s="3" t="s">
        <v>2317</v>
      </c>
      <c r="G484" s="3" t="s">
        <v>52</v>
      </c>
      <c r="H484" s="3" t="s">
        <v>0</v>
      </c>
      <c r="I484" s="3" t="s">
        <v>2318</v>
      </c>
      <c r="J484" s="3" t="s">
        <v>587</v>
      </c>
      <c r="K484" s="3" t="s">
        <v>41</v>
      </c>
      <c r="L484" s="3" t="s">
        <v>91</v>
      </c>
      <c r="M484" s="3">
        <v>7</v>
      </c>
      <c r="N484" s="3">
        <v>7</v>
      </c>
      <c r="O484" s="3" t="s">
        <v>55</v>
      </c>
      <c r="P484" s="3" t="s">
        <v>44</v>
      </c>
      <c r="Q484" s="3">
        <v>0</v>
      </c>
      <c r="R484" s="3">
        <v>0</v>
      </c>
      <c r="S484" s="3">
        <v>0</v>
      </c>
      <c r="T484" s="3">
        <v>0</v>
      </c>
      <c r="U484" s="3">
        <v>1</v>
      </c>
      <c r="V484" s="3" t="s">
        <v>56</v>
      </c>
      <c r="W484" s="3">
        <v>0</v>
      </c>
      <c r="X484" s="3">
        <v>1</v>
      </c>
      <c r="Y484" s="3">
        <v>1</v>
      </c>
      <c r="Z484" s="3">
        <v>1</v>
      </c>
      <c r="AA484" s="3">
        <v>0</v>
      </c>
      <c r="AB484" s="3">
        <v>0</v>
      </c>
      <c r="AC484" s="3">
        <v>12</v>
      </c>
      <c r="AD484" s="3" t="s">
        <v>0</v>
      </c>
      <c r="AE484" s="3" t="s">
        <v>46</v>
      </c>
    </row>
    <row r="485" spans="1:31" ht="63.75" x14ac:dyDescent="0.2">
      <c r="A485" s="4" t="str">
        <f>HYPERLINK("http://www.patentics.cn/invokexml.do?sf=ShowPatent&amp;spn=CN102142075&amp;sv=a69fa45676313dcf3ffa9831d8e5a898","CN102142075")</f>
        <v>CN102142075</v>
      </c>
      <c r="B485" s="2" t="s">
        <v>2319</v>
      </c>
      <c r="C485" s="2" t="s">
        <v>2320</v>
      </c>
      <c r="D485" s="2" t="s">
        <v>36</v>
      </c>
      <c r="E485" s="2" t="s">
        <v>36</v>
      </c>
      <c r="F485" s="2" t="s">
        <v>2321</v>
      </c>
      <c r="G485" s="2" t="s">
        <v>2322</v>
      </c>
      <c r="H485" s="2" t="s">
        <v>0</v>
      </c>
      <c r="I485" s="2" t="s">
        <v>2323</v>
      </c>
      <c r="J485" s="2" t="s">
        <v>2324</v>
      </c>
      <c r="K485" s="2" t="s">
        <v>1828</v>
      </c>
      <c r="L485" s="2" t="s">
        <v>2325</v>
      </c>
      <c r="M485" s="2">
        <v>7</v>
      </c>
      <c r="N485" s="2">
        <v>15</v>
      </c>
      <c r="O485" s="2" t="s">
        <v>75</v>
      </c>
      <c r="P485" s="2" t="s">
        <v>44</v>
      </c>
      <c r="Q485" s="2">
        <v>2</v>
      </c>
      <c r="R485" s="2">
        <v>1</v>
      </c>
      <c r="S485" s="2">
        <v>1</v>
      </c>
      <c r="T485" s="2">
        <v>2</v>
      </c>
      <c r="U485" s="2">
        <v>1</v>
      </c>
      <c r="V485" s="2" t="s">
        <v>339</v>
      </c>
      <c r="W485" s="2">
        <v>0</v>
      </c>
      <c r="X485" s="2">
        <v>1</v>
      </c>
      <c r="Y485" s="2">
        <v>1</v>
      </c>
      <c r="Z485" s="2">
        <v>1</v>
      </c>
      <c r="AA485" s="2">
        <v>0</v>
      </c>
      <c r="AB485" s="2">
        <v>0</v>
      </c>
      <c r="AC485" s="2" t="s">
        <v>0</v>
      </c>
      <c r="AD485" s="2">
        <v>1</v>
      </c>
      <c r="AE485" s="2" t="s">
        <v>100</v>
      </c>
    </row>
    <row r="486" spans="1:31" ht="51" x14ac:dyDescent="0.2">
      <c r="A486" s="5" t="str">
        <f>HYPERLINK("http://www.patentics.cn/invokexml.do?sf=ShowPatent&amp;spn=CN1746905&amp;sv=edcde8fa741a6122aaf0a8031c249e87","CN1746905")</f>
        <v>CN1746905</v>
      </c>
      <c r="B486" s="3" t="s">
        <v>1830</v>
      </c>
      <c r="C486" s="3" t="s">
        <v>1831</v>
      </c>
      <c r="D486" s="3" t="s">
        <v>49</v>
      </c>
      <c r="E486" s="3" t="s">
        <v>50</v>
      </c>
      <c r="F486" s="3" t="s">
        <v>1832</v>
      </c>
      <c r="G486" s="3" t="s">
        <v>52</v>
      </c>
      <c r="H486" s="3" t="s">
        <v>1833</v>
      </c>
      <c r="I486" s="3" t="s">
        <v>1833</v>
      </c>
      <c r="J486" s="3" t="s">
        <v>1834</v>
      </c>
      <c r="K486" s="3" t="s">
        <v>1828</v>
      </c>
      <c r="L486" s="3" t="s">
        <v>1829</v>
      </c>
      <c r="M486" s="3">
        <v>10</v>
      </c>
      <c r="N486" s="3">
        <v>30</v>
      </c>
      <c r="O486" s="3" t="s">
        <v>75</v>
      </c>
      <c r="P486" s="3" t="s">
        <v>44</v>
      </c>
      <c r="Q486" s="3">
        <v>0</v>
      </c>
      <c r="R486" s="3">
        <v>0</v>
      </c>
      <c r="S486" s="3">
        <v>0</v>
      </c>
      <c r="T486" s="3">
        <v>0</v>
      </c>
      <c r="U486" s="3">
        <v>5</v>
      </c>
      <c r="V486" s="3" t="s">
        <v>1835</v>
      </c>
      <c r="W486" s="3">
        <v>0</v>
      </c>
      <c r="X486" s="3">
        <v>5</v>
      </c>
      <c r="Y486" s="3">
        <v>2</v>
      </c>
      <c r="Z486" s="3">
        <v>1</v>
      </c>
      <c r="AA486" s="3">
        <v>1</v>
      </c>
      <c r="AB486" s="3">
        <v>1</v>
      </c>
      <c r="AC486" s="3">
        <v>12</v>
      </c>
      <c r="AD486" s="3" t="s">
        <v>0</v>
      </c>
      <c r="AE486" s="3" t="s">
        <v>46</v>
      </c>
    </row>
    <row r="487" spans="1:31" ht="25.5" x14ac:dyDescent="0.2">
      <c r="A487" s="4" t="str">
        <f>HYPERLINK("http://www.patentics.cn/invokexml.do?sf=ShowPatent&amp;spn=CN102072539&amp;sv=660d9fe9d8dae6c6ca4606735878f1e8","CN102072539")</f>
        <v>CN102072539</v>
      </c>
      <c r="B487" s="2" t="s">
        <v>2326</v>
      </c>
      <c r="C487" s="2" t="s">
        <v>2327</v>
      </c>
      <c r="D487" s="2" t="s">
        <v>246</v>
      </c>
      <c r="E487" s="2" t="s">
        <v>36</v>
      </c>
      <c r="F487" s="2" t="s">
        <v>2328</v>
      </c>
      <c r="G487" s="2" t="s">
        <v>2329</v>
      </c>
      <c r="H487" s="2" t="s">
        <v>0</v>
      </c>
      <c r="I487" s="2" t="s">
        <v>1524</v>
      </c>
      <c r="J487" s="2" t="s">
        <v>2330</v>
      </c>
      <c r="K487" s="2" t="s">
        <v>41</v>
      </c>
      <c r="L487" s="2" t="s">
        <v>891</v>
      </c>
      <c r="M487" s="2">
        <v>10</v>
      </c>
      <c r="N487" s="2">
        <v>13</v>
      </c>
      <c r="O487" s="2" t="s">
        <v>75</v>
      </c>
      <c r="P487" s="2" t="s">
        <v>44</v>
      </c>
      <c r="Q487" s="2">
        <v>3</v>
      </c>
      <c r="R487" s="2">
        <v>0</v>
      </c>
      <c r="S487" s="2">
        <v>3</v>
      </c>
      <c r="T487" s="2">
        <v>3</v>
      </c>
      <c r="U487" s="2">
        <v>1</v>
      </c>
      <c r="V487" s="2" t="s">
        <v>1552</v>
      </c>
      <c r="W487" s="2">
        <v>0</v>
      </c>
      <c r="X487" s="2">
        <v>1</v>
      </c>
      <c r="Y487" s="2">
        <v>1</v>
      </c>
      <c r="Z487" s="2">
        <v>1</v>
      </c>
      <c r="AA487" s="2">
        <v>0</v>
      </c>
      <c r="AB487" s="2">
        <v>0</v>
      </c>
      <c r="AC487" s="2" t="s">
        <v>0</v>
      </c>
      <c r="AD487" s="2">
        <v>1</v>
      </c>
      <c r="AE487" s="2" t="s">
        <v>100</v>
      </c>
    </row>
    <row r="488" spans="1:31" ht="51" x14ac:dyDescent="0.2">
      <c r="A488" s="5" t="str">
        <f>HYPERLINK("http://www.patentics.cn/invokexml.do?sf=ShowPatent&amp;spn=CN201196463&amp;sv=07cd08c429e2920c21657edd5b7d8808","CN201196463")</f>
        <v>CN201196463</v>
      </c>
      <c r="B488" s="3" t="s">
        <v>2331</v>
      </c>
      <c r="C488" s="3" t="s">
        <v>2332</v>
      </c>
      <c r="D488" s="3" t="s">
        <v>49</v>
      </c>
      <c r="E488" s="3" t="s">
        <v>50</v>
      </c>
      <c r="F488" s="3" t="s">
        <v>2333</v>
      </c>
      <c r="G488" s="3" t="s">
        <v>253</v>
      </c>
      <c r="H488" s="3" t="s">
        <v>0</v>
      </c>
      <c r="I488" s="3" t="s">
        <v>2334</v>
      </c>
      <c r="J488" s="3" t="s">
        <v>2335</v>
      </c>
      <c r="K488" s="3" t="s">
        <v>41</v>
      </c>
      <c r="L488" s="3" t="s">
        <v>428</v>
      </c>
      <c r="M488" s="3">
        <v>9</v>
      </c>
      <c r="N488" s="3">
        <v>17</v>
      </c>
      <c r="O488" s="3" t="s">
        <v>55</v>
      </c>
      <c r="P488" s="3" t="s">
        <v>44</v>
      </c>
      <c r="Q488" s="3">
        <v>1</v>
      </c>
      <c r="R488" s="3">
        <v>0</v>
      </c>
      <c r="S488" s="3">
        <v>1</v>
      </c>
      <c r="T488" s="3">
        <v>1</v>
      </c>
      <c r="U488" s="3">
        <v>4</v>
      </c>
      <c r="V488" s="3" t="s">
        <v>2267</v>
      </c>
      <c r="W488" s="3">
        <v>0</v>
      </c>
      <c r="X488" s="3">
        <v>4</v>
      </c>
      <c r="Y488" s="3">
        <v>2</v>
      </c>
      <c r="Z488" s="3">
        <v>1</v>
      </c>
      <c r="AA488" s="3">
        <v>0</v>
      </c>
      <c r="AB488" s="3">
        <v>0</v>
      </c>
      <c r="AC488" s="3">
        <v>12</v>
      </c>
      <c r="AD488" s="3" t="s">
        <v>0</v>
      </c>
      <c r="AE488" s="3" t="s">
        <v>57</v>
      </c>
    </row>
    <row r="489" spans="1:31" ht="25.5" x14ac:dyDescent="0.2">
      <c r="A489" s="4" t="str">
        <f>HYPERLINK("http://www.patentics.cn/invokexml.do?sf=ShowPatent&amp;spn=CN201811507&amp;sv=2e31475e67adda0912a20b95912c9424","CN201811507")</f>
        <v>CN201811507</v>
      </c>
      <c r="B489" s="2" t="s">
        <v>2336</v>
      </c>
      <c r="C489" s="2" t="s">
        <v>2337</v>
      </c>
      <c r="D489" s="2" t="s">
        <v>246</v>
      </c>
      <c r="E489" s="2" t="s">
        <v>36</v>
      </c>
      <c r="F489" s="2" t="s">
        <v>2338</v>
      </c>
      <c r="G489" s="2" t="s">
        <v>2339</v>
      </c>
      <c r="H489" s="2" t="s">
        <v>0</v>
      </c>
      <c r="I489" s="2" t="s">
        <v>2340</v>
      </c>
      <c r="J489" s="2" t="s">
        <v>708</v>
      </c>
      <c r="K489" s="2" t="s">
        <v>347</v>
      </c>
      <c r="L489" s="2" t="s">
        <v>2011</v>
      </c>
      <c r="M489" s="2">
        <v>5</v>
      </c>
      <c r="N489" s="2">
        <v>3</v>
      </c>
      <c r="O489" s="2" t="s">
        <v>55</v>
      </c>
      <c r="P489" s="2" t="s">
        <v>44</v>
      </c>
      <c r="Q489" s="2">
        <v>1</v>
      </c>
      <c r="R489" s="2">
        <v>0</v>
      </c>
      <c r="S489" s="2">
        <v>1</v>
      </c>
      <c r="T489" s="2">
        <v>1</v>
      </c>
      <c r="U489" s="2">
        <v>0</v>
      </c>
      <c r="V489" s="2" t="s">
        <v>45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 t="s">
        <v>0</v>
      </c>
      <c r="AD489" s="2">
        <v>1</v>
      </c>
      <c r="AE489" s="2" t="s">
        <v>57</v>
      </c>
    </row>
    <row r="490" spans="1:31" ht="25.5" x14ac:dyDescent="0.2">
      <c r="A490" s="5" t="str">
        <f>HYPERLINK("http://www.patentics.cn/invokexml.do?sf=ShowPatent&amp;spn=CN2807156&amp;sv=13dac16dc3729503b8a0795b8c252bec","CN2807156")</f>
        <v>CN2807156</v>
      </c>
      <c r="B490" s="3" t="s">
        <v>2341</v>
      </c>
      <c r="C490" s="3" t="s">
        <v>2342</v>
      </c>
      <c r="D490" s="3" t="s">
        <v>49</v>
      </c>
      <c r="E490" s="3" t="s">
        <v>50</v>
      </c>
      <c r="F490" s="3" t="s">
        <v>2343</v>
      </c>
      <c r="G490" s="3" t="s">
        <v>2344</v>
      </c>
      <c r="H490" s="3" t="s">
        <v>0</v>
      </c>
      <c r="I490" s="3" t="s">
        <v>2345</v>
      </c>
      <c r="J490" s="3" t="s">
        <v>458</v>
      </c>
      <c r="K490" s="3" t="s">
        <v>347</v>
      </c>
      <c r="L490" s="3" t="s">
        <v>2011</v>
      </c>
      <c r="M490" s="3">
        <v>9</v>
      </c>
      <c r="N490" s="3">
        <v>10</v>
      </c>
      <c r="O490" s="3" t="s">
        <v>55</v>
      </c>
      <c r="P490" s="3" t="s">
        <v>44</v>
      </c>
      <c r="Q490" s="3">
        <v>0</v>
      </c>
      <c r="R490" s="3">
        <v>0</v>
      </c>
      <c r="S490" s="3">
        <v>0</v>
      </c>
      <c r="T490" s="3">
        <v>0</v>
      </c>
      <c r="U490" s="3">
        <v>2</v>
      </c>
      <c r="V490" s="3" t="s">
        <v>2346</v>
      </c>
      <c r="W490" s="3">
        <v>0</v>
      </c>
      <c r="X490" s="3">
        <v>2</v>
      </c>
      <c r="Y490" s="3">
        <v>2</v>
      </c>
      <c r="Z490" s="3">
        <v>2</v>
      </c>
      <c r="AA490" s="3">
        <v>0</v>
      </c>
      <c r="AB490" s="3">
        <v>0</v>
      </c>
      <c r="AC490" s="3">
        <v>12</v>
      </c>
      <c r="AD490" s="3" t="s">
        <v>0</v>
      </c>
      <c r="AE490" s="3" t="s">
        <v>57</v>
      </c>
    </row>
    <row r="491" spans="1:31" ht="51" x14ac:dyDescent="0.2">
      <c r="A491" s="4" t="str">
        <f>HYPERLINK("http://www.patentics.cn/invokexml.do?sf=ShowPatent&amp;spn=CN102022803&amp;sv=406160fa90a1b9ed587d83bdb64b7a64","CN102022803")</f>
        <v>CN102022803</v>
      </c>
      <c r="B491" s="2" t="s">
        <v>2347</v>
      </c>
      <c r="C491" s="2" t="s">
        <v>2348</v>
      </c>
      <c r="D491" s="2" t="s">
        <v>246</v>
      </c>
      <c r="E491" s="2" t="s">
        <v>36</v>
      </c>
      <c r="F491" s="2" t="s">
        <v>2349</v>
      </c>
      <c r="G491" s="2" t="s">
        <v>1361</v>
      </c>
      <c r="H491" s="2" t="s">
        <v>0</v>
      </c>
      <c r="I491" s="2" t="s">
        <v>2350</v>
      </c>
      <c r="J491" s="2" t="s">
        <v>2351</v>
      </c>
      <c r="K491" s="2" t="s">
        <v>41</v>
      </c>
      <c r="L491" s="2" t="s">
        <v>84</v>
      </c>
      <c r="M491" s="2">
        <v>10</v>
      </c>
      <c r="N491" s="2">
        <v>15</v>
      </c>
      <c r="O491" s="2" t="s">
        <v>75</v>
      </c>
      <c r="P491" s="2" t="s">
        <v>44</v>
      </c>
      <c r="Q491" s="2">
        <v>1</v>
      </c>
      <c r="R491" s="2">
        <v>0</v>
      </c>
      <c r="S491" s="2">
        <v>1</v>
      </c>
      <c r="T491" s="2">
        <v>1</v>
      </c>
      <c r="U491" s="2">
        <v>2</v>
      </c>
      <c r="V491" s="2" t="s">
        <v>2352</v>
      </c>
      <c r="W491" s="2">
        <v>0</v>
      </c>
      <c r="X491" s="2">
        <v>2</v>
      </c>
      <c r="Y491" s="2">
        <v>2</v>
      </c>
      <c r="Z491" s="2">
        <v>1</v>
      </c>
      <c r="AA491" s="2">
        <v>0</v>
      </c>
      <c r="AB491" s="2">
        <v>0</v>
      </c>
      <c r="AC491" s="2" t="s">
        <v>0</v>
      </c>
      <c r="AD491" s="2">
        <v>1</v>
      </c>
      <c r="AE491" s="2" t="s">
        <v>100</v>
      </c>
    </row>
    <row r="492" spans="1:31" ht="51" x14ac:dyDescent="0.2">
      <c r="A492" s="5" t="str">
        <f>HYPERLINK("http://www.patentics.cn/invokexml.do?sf=ShowPatent&amp;spn=CN101619882&amp;sv=95a713f882a5046caf0e103a3073bbdf","CN101619882")</f>
        <v>CN101619882</v>
      </c>
      <c r="B492" s="3" t="s">
        <v>1430</v>
      </c>
      <c r="C492" s="3" t="s">
        <v>1431</v>
      </c>
      <c r="D492" s="3" t="s">
        <v>49</v>
      </c>
      <c r="E492" s="3" t="s">
        <v>50</v>
      </c>
      <c r="F492" s="3" t="s">
        <v>1432</v>
      </c>
      <c r="G492" s="3" t="s">
        <v>253</v>
      </c>
      <c r="H492" s="3" t="s">
        <v>1433</v>
      </c>
      <c r="I492" s="3" t="s">
        <v>1433</v>
      </c>
      <c r="J492" s="3" t="s">
        <v>1434</v>
      </c>
      <c r="K492" s="3" t="s">
        <v>41</v>
      </c>
      <c r="L492" s="3" t="s">
        <v>84</v>
      </c>
      <c r="M492" s="3">
        <v>9</v>
      </c>
      <c r="N492" s="3">
        <v>20</v>
      </c>
      <c r="O492" s="3" t="s">
        <v>75</v>
      </c>
      <c r="P492" s="3" t="s">
        <v>44</v>
      </c>
      <c r="Q492" s="3">
        <v>2</v>
      </c>
      <c r="R492" s="3">
        <v>0</v>
      </c>
      <c r="S492" s="3">
        <v>2</v>
      </c>
      <c r="T492" s="3">
        <v>2</v>
      </c>
      <c r="U492" s="3">
        <v>4</v>
      </c>
      <c r="V492" s="3" t="s">
        <v>1435</v>
      </c>
      <c r="W492" s="3">
        <v>0</v>
      </c>
      <c r="X492" s="3">
        <v>4</v>
      </c>
      <c r="Y492" s="3">
        <v>2</v>
      </c>
      <c r="Z492" s="3">
        <v>1</v>
      </c>
      <c r="AA492" s="3">
        <v>2</v>
      </c>
      <c r="AB492" s="3">
        <v>2</v>
      </c>
      <c r="AC492" s="3">
        <v>12</v>
      </c>
      <c r="AD492" s="3" t="s">
        <v>0</v>
      </c>
      <c r="AE492" s="3" t="s">
        <v>46</v>
      </c>
    </row>
    <row r="493" spans="1:31" ht="25.5" x14ac:dyDescent="0.2">
      <c r="A493" s="4" t="str">
        <f>HYPERLINK("http://www.patentics.cn/invokexml.do?sf=ShowPatent&amp;spn=CN102012076&amp;sv=cbaa50d5c64a6a20983603cd91de06b8","CN102012076")</f>
        <v>CN102012076</v>
      </c>
      <c r="B493" s="2" t="s">
        <v>1750</v>
      </c>
      <c r="C493" s="2" t="s">
        <v>1751</v>
      </c>
      <c r="D493" s="2" t="s">
        <v>246</v>
      </c>
      <c r="E493" s="2" t="s">
        <v>36</v>
      </c>
      <c r="F493" s="2" t="s">
        <v>1752</v>
      </c>
      <c r="G493" s="2" t="s">
        <v>1753</v>
      </c>
      <c r="H493" s="2" t="s">
        <v>1754</v>
      </c>
      <c r="I493" s="2" t="s">
        <v>1754</v>
      </c>
      <c r="J493" s="2" t="s">
        <v>2353</v>
      </c>
      <c r="K493" s="2" t="s">
        <v>41</v>
      </c>
      <c r="L493" s="2" t="s">
        <v>84</v>
      </c>
      <c r="M493" s="2">
        <v>3</v>
      </c>
      <c r="N493" s="2">
        <v>26</v>
      </c>
      <c r="O493" s="2" t="s">
        <v>75</v>
      </c>
      <c r="P493" s="2" t="s">
        <v>44</v>
      </c>
      <c r="Q493" s="2">
        <v>1</v>
      </c>
      <c r="R493" s="2">
        <v>0</v>
      </c>
      <c r="S493" s="2">
        <v>1</v>
      </c>
      <c r="T493" s="2">
        <v>1</v>
      </c>
      <c r="U493" s="2">
        <v>0</v>
      </c>
      <c r="V493" s="2" t="s">
        <v>45</v>
      </c>
      <c r="W493" s="2">
        <v>0</v>
      </c>
      <c r="X493" s="2">
        <v>0</v>
      </c>
      <c r="Y493" s="2">
        <v>0</v>
      </c>
      <c r="Z493" s="2">
        <v>0</v>
      </c>
      <c r="AA493" s="2">
        <v>1</v>
      </c>
      <c r="AB493" s="2">
        <v>1</v>
      </c>
      <c r="AC493" s="2" t="s">
        <v>0</v>
      </c>
      <c r="AD493" s="2">
        <v>1</v>
      </c>
      <c r="AE493" s="2" t="s">
        <v>46</v>
      </c>
    </row>
    <row r="494" spans="1:31" ht="63.75" x14ac:dyDescent="0.2">
      <c r="A494" s="5" t="str">
        <f>HYPERLINK("http://www.patentics.cn/invokexml.do?sf=ShowPatent&amp;spn=CN101514826&amp;sv=26516bd7b8ddde5d446be388aad6f8cc","CN101514826")</f>
        <v>CN101514826</v>
      </c>
      <c r="B494" s="3" t="s">
        <v>534</v>
      </c>
      <c r="C494" s="3" t="s">
        <v>535</v>
      </c>
      <c r="D494" s="3" t="s">
        <v>49</v>
      </c>
      <c r="E494" s="3" t="s">
        <v>50</v>
      </c>
      <c r="F494" s="3" t="s">
        <v>536</v>
      </c>
      <c r="G494" s="3" t="s">
        <v>264</v>
      </c>
      <c r="H494" s="3" t="s">
        <v>0</v>
      </c>
      <c r="I494" s="3" t="s">
        <v>537</v>
      </c>
      <c r="J494" s="3" t="s">
        <v>538</v>
      </c>
      <c r="K494" s="3" t="s">
        <v>41</v>
      </c>
      <c r="L494" s="3" t="s">
        <v>42</v>
      </c>
      <c r="M494" s="3">
        <v>9</v>
      </c>
      <c r="N494" s="3">
        <v>12</v>
      </c>
      <c r="O494" s="3" t="s">
        <v>75</v>
      </c>
      <c r="P494" s="3" t="s">
        <v>44</v>
      </c>
      <c r="Q494" s="3">
        <v>0</v>
      </c>
      <c r="R494" s="3">
        <v>0</v>
      </c>
      <c r="S494" s="3">
        <v>0</v>
      </c>
      <c r="T494" s="3">
        <v>0</v>
      </c>
      <c r="U494" s="3">
        <v>4</v>
      </c>
      <c r="V494" s="3" t="s">
        <v>539</v>
      </c>
      <c r="W494" s="3">
        <v>0</v>
      </c>
      <c r="X494" s="3">
        <v>4</v>
      </c>
      <c r="Y494" s="3">
        <v>1</v>
      </c>
      <c r="Z494" s="3">
        <v>2</v>
      </c>
      <c r="AA494" s="3">
        <v>0</v>
      </c>
      <c r="AB494" s="3">
        <v>0</v>
      </c>
      <c r="AC494" s="3">
        <v>12</v>
      </c>
      <c r="AD494" s="3" t="s">
        <v>0</v>
      </c>
      <c r="AE494" s="3" t="s">
        <v>100</v>
      </c>
    </row>
    <row r="495" spans="1:31" ht="25.5" x14ac:dyDescent="0.2">
      <c r="A495" s="4" t="str">
        <f>HYPERLINK("http://www.patentics.cn/invokexml.do?sf=ShowPatent&amp;spn=CN102003776&amp;sv=2a83fa481eb87783c194e2af07036ac0","CN102003776")</f>
        <v>CN102003776</v>
      </c>
      <c r="B495" s="2" t="s">
        <v>2354</v>
      </c>
      <c r="C495" s="2" t="s">
        <v>2355</v>
      </c>
      <c r="D495" s="2" t="s">
        <v>246</v>
      </c>
      <c r="E495" s="2" t="s">
        <v>36</v>
      </c>
      <c r="F495" s="2" t="s">
        <v>2356</v>
      </c>
      <c r="G495" s="2" t="s">
        <v>236</v>
      </c>
      <c r="H495" s="2" t="s">
        <v>0</v>
      </c>
      <c r="I495" s="2" t="s">
        <v>2357</v>
      </c>
      <c r="J495" s="2" t="s">
        <v>412</v>
      </c>
      <c r="K495" s="2" t="s">
        <v>41</v>
      </c>
      <c r="L495" s="2" t="s">
        <v>91</v>
      </c>
      <c r="M495" s="2">
        <v>5</v>
      </c>
      <c r="N495" s="2">
        <v>8</v>
      </c>
      <c r="O495" s="2" t="s">
        <v>75</v>
      </c>
      <c r="P495" s="2" t="s">
        <v>44</v>
      </c>
      <c r="Q495" s="2">
        <v>1</v>
      </c>
      <c r="R495" s="2">
        <v>0</v>
      </c>
      <c r="S495" s="2">
        <v>1</v>
      </c>
      <c r="T495" s="2">
        <v>1</v>
      </c>
      <c r="U495" s="2">
        <v>0</v>
      </c>
      <c r="V495" s="2" t="s">
        <v>45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 t="s">
        <v>0</v>
      </c>
      <c r="AD495" s="2">
        <v>1</v>
      </c>
      <c r="AE495" s="2" t="s">
        <v>100</v>
      </c>
    </row>
    <row r="496" spans="1:31" ht="51" x14ac:dyDescent="0.2">
      <c r="A496" s="5" t="str">
        <f>HYPERLINK("http://www.patentics.cn/invokexml.do?sf=ShowPatent&amp;spn=CN201103967&amp;sv=727e4ea0d510bbc71512b1fd37aa32b1","CN201103967")</f>
        <v>CN201103967</v>
      </c>
      <c r="B496" s="3" t="s">
        <v>2358</v>
      </c>
      <c r="C496" s="3" t="s">
        <v>2359</v>
      </c>
      <c r="D496" s="3" t="s">
        <v>49</v>
      </c>
      <c r="E496" s="3" t="s">
        <v>50</v>
      </c>
      <c r="F496" s="3" t="s">
        <v>2360</v>
      </c>
      <c r="G496" s="3" t="s">
        <v>253</v>
      </c>
      <c r="H496" s="3" t="s">
        <v>0</v>
      </c>
      <c r="I496" s="3" t="s">
        <v>2361</v>
      </c>
      <c r="J496" s="3" t="s">
        <v>98</v>
      </c>
      <c r="K496" s="3" t="s">
        <v>41</v>
      </c>
      <c r="L496" s="3" t="s">
        <v>2362</v>
      </c>
      <c r="M496" s="3">
        <v>4</v>
      </c>
      <c r="N496" s="3">
        <v>9</v>
      </c>
      <c r="O496" s="3" t="s">
        <v>55</v>
      </c>
      <c r="P496" s="3" t="s">
        <v>44</v>
      </c>
      <c r="Q496" s="3">
        <v>0</v>
      </c>
      <c r="R496" s="3">
        <v>0</v>
      </c>
      <c r="S496" s="3">
        <v>0</v>
      </c>
      <c r="T496" s="3">
        <v>0</v>
      </c>
      <c r="U496" s="3">
        <v>2</v>
      </c>
      <c r="V496" s="3" t="s">
        <v>2145</v>
      </c>
      <c r="W496" s="3">
        <v>0</v>
      </c>
      <c r="X496" s="3">
        <v>2</v>
      </c>
      <c r="Y496" s="3">
        <v>2</v>
      </c>
      <c r="Z496" s="3">
        <v>1</v>
      </c>
      <c r="AA496" s="3">
        <v>0</v>
      </c>
      <c r="AB496" s="3">
        <v>0</v>
      </c>
      <c r="AC496" s="3">
        <v>12</v>
      </c>
      <c r="AD496" s="3" t="s">
        <v>0</v>
      </c>
      <c r="AE496" s="3" t="s">
        <v>46</v>
      </c>
    </row>
    <row r="497" spans="1:31" ht="25.5" x14ac:dyDescent="0.2">
      <c r="A497" s="4" t="str">
        <f>HYPERLINK("http://www.patentics.cn/invokexml.do?sf=ShowPatent&amp;spn=CN102003841&amp;sv=6715e7bb79d6d28a8283f5a67aca1257","CN102003841")</f>
        <v>CN102003841</v>
      </c>
      <c r="B497" s="2" t="s">
        <v>2363</v>
      </c>
      <c r="C497" s="2" t="s">
        <v>2364</v>
      </c>
      <c r="D497" s="2" t="s">
        <v>246</v>
      </c>
      <c r="E497" s="2" t="s">
        <v>36</v>
      </c>
      <c r="F497" s="2" t="s">
        <v>2365</v>
      </c>
      <c r="G497" s="2" t="s">
        <v>2150</v>
      </c>
      <c r="H497" s="2" t="s">
        <v>0</v>
      </c>
      <c r="I497" s="2" t="s">
        <v>2366</v>
      </c>
      <c r="J497" s="2" t="s">
        <v>412</v>
      </c>
      <c r="K497" s="2" t="s">
        <v>347</v>
      </c>
      <c r="L497" s="2" t="s">
        <v>1011</v>
      </c>
      <c r="M497" s="2">
        <v>10</v>
      </c>
      <c r="N497" s="2">
        <v>10</v>
      </c>
      <c r="O497" s="2" t="s">
        <v>75</v>
      </c>
      <c r="P497" s="2" t="s">
        <v>44</v>
      </c>
      <c r="Q497" s="2">
        <v>1</v>
      </c>
      <c r="R497" s="2">
        <v>0</v>
      </c>
      <c r="S497" s="2">
        <v>1</v>
      </c>
      <c r="T497" s="2">
        <v>1</v>
      </c>
      <c r="U497" s="2">
        <v>1</v>
      </c>
      <c r="V497" s="2" t="s">
        <v>1851</v>
      </c>
      <c r="W497" s="2">
        <v>1</v>
      </c>
      <c r="X497" s="2">
        <v>0</v>
      </c>
      <c r="Y497" s="2">
        <v>1</v>
      </c>
      <c r="Z497" s="2">
        <v>1</v>
      </c>
      <c r="AA497" s="2">
        <v>0</v>
      </c>
      <c r="AB497" s="2">
        <v>0</v>
      </c>
      <c r="AC497" s="2" t="s">
        <v>0</v>
      </c>
      <c r="AD497" s="2">
        <v>1</v>
      </c>
      <c r="AE497" s="2" t="s">
        <v>100</v>
      </c>
    </row>
    <row r="498" spans="1:31" ht="76.5" x14ac:dyDescent="0.2">
      <c r="A498" s="5" t="str">
        <f>HYPERLINK("http://www.patentics.cn/invokexml.do?sf=ShowPatent&amp;spn=CN201527144&amp;sv=81fc6af57c714079760ad8f8f0d3d80c","CN201527144")</f>
        <v>CN201527144</v>
      </c>
      <c r="B498" s="3" t="s">
        <v>2367</v>
      </c>
      <c r="C498" s="3" t="s">
        <v>2368</v>
      </c>
      <c r="D498" s="3" t="s">
        <v>49</v>
      </c>
      <c r="E498" s="3" t="s">
        <v>50</v>
      </c>
      <c r="F498" s="3" t="s">
        <v>2369</v>
      </c>
      <c r="G498" s="3" t="s">
        <v>88</v>
      </c>
      <c r="H498" s="3" t="s">
        <v>0</v>
      </c>
      <c r="I498" s="3" t="s">
        <v>2370</v>
      </c>
      <c r="J498" s="3" t="s">
        <v>1303</v>
      </c>
      <c r="K498" s="3" t="s">
        <v>347</v>
      </c>
      <c r="L498" s="3" t="s">
        <v>2371</v>
      </c>
      <c r="M498" s="3">
        <v>9</v>
      </c>
      <c r="N498" s="3">
        <v>14</v>
      </c>
      <c r="O498" s="3" t="s">
        <v>55</v>
      </c>
      <c r="P498" s="3" t="s">
        <v>44</v>
      </c>
      <c r="Q498" s="3">
        <v>0</v>
      </c>
      <c r="R498" s="3">
        <v>0</v>
      </c>
      <c r="S498" s="3">
        <v>0</v>
      </c>
      <c r="T498" s="3">
        <v>0</v>
      </c>
      <c r="U498" s="3">
        <v>1</v>
      </c>
      <c r="V498" s="3" t="s">
        <v>553</v>
      </c>
      <c r="W498" s="3">
        <v>0</v>
      </c>
      <c r="X498" s="3">
        <v>1</v>
      </c>
      <c r="Y498" s="3">
        <v>1</v>
      </c>
      <c r="Z498" s="3">
        <v>1</v>
      </c>
      <c r="AA498" s="3">
        <v>0</v>
      </c>
      <c r="AB498" s="3">
        <v>0</v>
      </c>
      <c r="AC498" s="3">
        <v>12</v>
      </c>
      <c r="AD498" s="3" t="s">
        <v>0</v>
      </c>
      <c r="AE498" s="3" t="s">
        <v>46</v>
      </c>
    </row>
    <row r="499" spans="1:31" ht="25.5" x14ac:dyDescent="0.2">
      <c r="A499" s="4" t="str">
        <f>HYPERLINK("http://www.patentics.cn/invokexml.do?sf=ShowPatent&amp;spn=CN201748567&amp;sv=99817dda1f9c7d4109dbb8e195f05c39","CN201748567")</f>
        <v>CN201748567</v>
      </c>
      <c r="B499" s="2" t="s">
        <v>2372</v>
      </c>
      <c r="C499" s="2" t="s">
        <v>2373</v>
      </c>
      <c r="D499" s="2" t="s">
        <v>246</v>
      </c>
      <c r="E499" s="2" t="s">
        <v>36</v>
      </c>
      <c r="F499" s="2" t="s">
        <v>2328</v>
      </c>
      <c r="G499" s="2" t="s">
        <v>2329</v>
      </c>
      <c r="H499" s="2" t="s">
        <v>0</v>
      </c>
      <c r="I499" s="2" t="s">
        <v>1524</v>
      </c>
      <c r="J499" s="2" t="s">
        <v>2374</v>
      </c>
      <c r="K499" s="2" t="s">
        <v>41</v>
      </c>
      <c r="L499" s="2" t="s">
        <v>891</v>
      </c>
      <c r="M499" s="2">
        <v>10</v>
      </c>
      <c r="N499" s="2">
        <v>13</v>
      </c>
      <c r="O499" s="2" t="s">
        <v>55</v>
      </c>
      <c r="P499" s="2" t="s">
        <v>44</v>
      </c>
      <c r="Q499" s="2">
        <v>3</v>
      </c>
      <c r="R499" s="2">
        <v>0</v>
      </c>
      <c r="S499" s="2">
        <v>3</v>
      </c>
      <c r="T499" s="2">
        <v>3</v>
      </c>
      <c r="U499" s="2">
        <v>0</v>
      </c>
      <c r="V499" s="2" t="s">
        <v>45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 t="s">
        <v>0</v>
      </c>
      <c r="AD499" s="2">
        <v>1</v>
      </c>
      <c r="AE499" s="2" t="s">
        <v>46</v>
      </c>
    </row>
    <row r="500" spans="1:31" ht="51" x14ac:dyDescent="0.2">
      <c r="A500" s="5" t="str">
        <f>HYPERLINK("http://www.patentics.cn/invokexml.do?sf=ShowPatent&amp;spn=CN201196463&amp;sv=07cd08c429e2920c21657edd5b7d8808","CN201196463")</f>
        <v>CN201196463</v>
      </c>
      <c r="B500" s="3" t="s">
        <v>2331</v>
      </c>
      <c r="C500" s="3" t="s">
        <v>2332</v>
      </c>
      <c r="D500" s="3" t="s">
        <v>49</v>
      </c>
      <c r="E500" s="3" t="s">
        <v>50</v>
      </c>
      <c r="F500" s="3" t="s">
        <v>2333</v>
      </c>
      <c r="G500" s="3" t="s">
        <v>253</v>
      </c>
      <c r="H500" s="3" t="s">
        <v>0</v>
      </c>
      <c r="I500" s="3" t="s">
        <v>2334</v>
      </c>
      <c r="J500" s="3" t="s">
        <v>2335</v>
      </c>
      <c r="K500" s="3" t="s">
        <v>41</v>
      </c>
      <c r="L500" s="3" t="s">
        <v>428</v>
      </c>
      <c r="M500" s="3">
        <v>9</v>
      </c>
      <c r="N500" s="3">
        <v>17</v>
      </c>
      <c r="O500" s="3" t="s">
        <v>55</v>
      </c>
      <c r="P500" s="3" t="s">
        <v>44</v>
      </c>
      <c r="Q500" s="3">
        <v>1</v>
      </c>
      <c r="R500" s="3">
        <v>0</v>
      </c>
      <c r="S500" s="3">
        <v>1</v>
      </c>
      <c r="T500" s="3">
        <v>1</v>
      </c>
      <c r="U500" s="3">
        <v>4</v>
      </c>
      <c r="V500" s="3" t="s">
        <v>2267</v>
      </c>
      <c r="W500" s="3">
        <v>0</v>
      </c>
      <c r="X500" s="3">
        <v>4</v>
      </c>
      <c r="Y500" s="3">
        <v>2</v>
      </c>
      <c r="Z500" s="3">
        <v>1</v>
      </c>
      <c r="AA500" s="3">
        <v>0</v>
      </c>
      <c r="AB500" s="3">
        <v>0</v>
      </c>
      <c r="AC500" s="3">
        <v>12</v>
      </c>
      <c r="AD500" s="3" t="s">
        <v>0</v>
      </c>
      <c r="AE500" s="3" t="s">
        <v>57</v>
      </c>
    </row>
    <row r="501" spans="1:31" ht="38.25" x14ac:dyDescent="0.2">
      <c r="A501" s="4" t="str">
        <f>HYPERLINK("http://www.patentics.cn/invokexml.do?sf=ShowPatent&amp;spn=CN201717761&amp;sv=684bbe80932fbae48aa2564084c4b330","CN201717761")</f>
        <v>CN201717761</v>
      </c>
      <c r="B501" s="2" t="s">
        <v>2375</v>
      </c>
      <c r="C501" s="2" t="s">
        <v>2376</v>
      </c>
      <c r="D501" s="2" t="s">
        <v>1092</v>
      </c>
      <c r="E501" s="2" t="s">
        <v>36</v>
      </c>
      <c r="F501" s="2" t="s">
        <v>2377</v>
      </c>
      <c r="G501" s="2" t="s">
        <v>2378</v>
      </c>
      <c r="H501" s="2" t="s">
        <v>0</v>
      </c>
      <c r="I501" s="2" t="s">
        <v>2379</v>
      </c>
      <c r="J501" s="2" t="s">
        <v>1323</v>
      </c>
      <c r="K501" s="2" t="s">
        <v>852</v>
      </c>
      <c r="L501" s="2" t="s">
        <v>2380</v>
      </c>
      <c r="M501" s="2">
        <v>6</v>
      </c>
      <c r="N501" s="2">
        <v>21</v>
      </c>
      <c r="O501" s="2" t="s">
        <v>55</v>
      </c>
      <c r="P501" s="2" t="s">
        <v>44</v>
      </c>
      <c r="Q501" s="2">
        <v>1</v>
      </c>
      <c r="R501" s="2">
        <v>0</v>
      </c>
      <c r="S501" s="2">
        <v>1</v>
      </c>
      <c r="T501" s="2">
        <v>1</v>
      </c>
      <c r="U501" s="2">
        <v>1</v>
      </c>
      <c r="V501" s="2" t="s">
        <v>284</v>
      </c>
      <c r="W501" s="2">
        <v>0</v>
      </c>
      <c r="X501" s="2">
        <v>1</v>
      </c>
      <c r="Y501" s="2">
        <v>1</v>
      </c>
      <c r="Z501" s="2">
        <v>1</v>
      </c>
      <c r="AA501" s="2">
        <v>0</v>
      </c>
      <c r="AB501" s="2">
        <v>0</v>
      </c>
      <c r="AC501" s="2" t="s">
        <v>0</v>
      </c>
      <c r="AD501" s="2">
        <v>1</v>
      </c>
      <c r="AE501" s="2" t="s">
        <v>46</v>
      </c>
    </row>
    <row r="502" spans="1:31" ht="38.25" x14ac:dyDescent="0.2">
      <c r="A502" s="5" t="str">
        <f>HYPERLINK("http://www.patentics.cn/invokexml.do?sf=ShowPatent&amp;spn=CN201319527&amp;sv=0f91e18c94f0afb3b8bf6ce8b3aa1b7c","CN201319527")</f>
        <v>CN201319527</v>
      </c>
      <c r="B502" s="3" t="s">
        <v>854</v>
      </c>
      <c r="C502" s="3" t="s">
        <v>855</v>
      </c>
      <c r="D502" s="3" t="s">
        <v>49</v>
      </c>
      <c r="E502" s="3" t="s">
        <v>50</v>
      </c>
      <c r="F502" s="3" t="s">
        <v>856</v>
      </c>
      <c r="G502" s="3" t="s">
        <v>857</v>
      </c>
      <c r="H502" s="3" t="s">
        <v>0</v>
      </c>
      <c r="I502" s="3" t="s">
        <v>858</v>
      </c>
      <c r="J502" s="3" t="s">
        <v>859</v>
      </c>
      <c r="K502" s="3" t="s">
        <v>852</v>
      </c>
      <c r="L502" s="3" t="s">
        <v>853</v>
      </c>
      <c r="M502" s="3">
        <v>3</v>
      </c>
      <c r="N502" s="3">
        <v>7</v>
      </c>
      <c r="O502" s="3" t="s">
        <v>55</v>
      </c>
      <c r="P502" s="3" t="s">
        <v>44</v>
      </c>
      <c r="Q502" s="3">
        <v>0</v>
      </c>
      <c r="R502" s="3">
        <v>0</v>
      </c>
      <c r="S502" s="3">
        <v>0</v>
      </c>
      <c r="T502" s="3">
        <v>0</v>
      </c>
      <c r="U502" s="3">
        <v>4</v>
      </c>
      <c r="V502" s="3" t="s">
        <v>860</v>
      </c>
      <c r="W502" s="3">
        <v>0</v>
      </c>
      <c r="X502" s="3">
        <v>4</v>
      </c>
      <c r="Y502" s="3">
        <v>3</v>
      </c>
      <c r="Z502" s="3">
        <v>2</v>
      </c>
      <c r="AA502" s="3">
        <v>0</v>
      </c>
      <c r="AB502" s="3">
        <v>0</v>
      </c>
      <c r="AC502" s="3">
        <v>12</v>
      </c>
      <c r="AD502" s="3" t="s">
        <v>0</v>
      </c>
      <c r="AE502" s="3" t="s">
        <v>46</v>
      </c>
    </row>
    <row r="503" spans="1:31" ht="25.5" x14ac:dyDescent="0.2">
      <c r="A503" s="4" t="str">
        <f>HYPERLINK("http://www.patentics.cn/invokexml.do?sf=ShowPatent&amp;spn=CN201652737&amp;sv=c03f178619ff9ebcc00c6921c5dd007e","CN201652737")</f>
        <v>CN201652737</v>
      </c>
      <c r="B503" s="2" t="s">
        <v>2381</v>
      </c>
      <c r="C503" s="2" t="s">
        <v>2382</v>
      </c>
      <c r="D503" s="2" t="s">
        <v>674</v>
      </c>
      <c r="E503" s="2" t="s">
        <v>36</v>
      </c>
      <c r="F503" s="2" t="s">
        <v>2383</v>
      </c>
      <c r="G503" s="2" t="s">
        <v>2384</v>
      </c>
      <c r="H503" s="2" t="s">
        <v>0</v>
      </c>
      <c r="I503" s="2" t="s">
        <v>2385</v>
      </c>
      <c r="J503" s="2" t="s">
        <v>2386</v>
      </c>
      <c r="K503" s="2" t="s">
        <v>41</v>
      </c>
      <c r="L503" s="2" t="s">
        <v>453</v>
      </c>
      <c r="M503" s="2">
        <v>6</v>
      </c>
      <c r="N503" s="2">
        <v>12</v>
      </c>
      <c r="O503" s="2" t="s">
        <v>55</v>
      </c>
      <c r="P503" s="2" t="s">
        <v>44</v>
      </c>
      <c r="Q503" s="2">
        <v>1</v>
      </c>
      <c r="R503" s="2">
        <v>0</v>
      </c>
      <c r="S503" s="2">
        <v>1</v>
      </c>
      <c r="T503" s="2">
        <v>1</v>
      </c>
      <c r="U503" s="2">
        <v>0</v>
      </c>
      <c r="V503" s="2" t="s">
        <v>45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 t="s">
        <v>0</v>
      </c>
      <c r="AD503" s="2">
        <v>1</v>
      </c>
      <c r="AE503" s="2" t="s">
        <v>46</v>
      </c>
    </row>
    <row r="504" spans="1:31" ht="25.5" x14ac:dyDescent="0.2">
      <c r="A504" s="5" t="str">
        <f>HYPERLINK("http://www.patentics.cn/invokexml.do?sf=ShowPatent&amp;spn=CN201331162&amp;sv=5a8e6cb15984285140496273c9acf54c","CN201331162")</f>
        <v>CN201331162</v>
      </c>
      <c r="B504" s="3" t="s">
        <v>2387</v>
      </c>
      <c r="C504" s="3" t="s">
        <v>2388</v>
      </c>
      <c r="D504" s="3" t="s">
        <v>49</v>
      </c>
      <c r="E504" s="3" t="s">
        <v>50</v>
      </c>
      <c r="F504" s="3" t="s">
        <v>2389</v>
      </c>
      <c r="G504" s="3" t="s">
        <v>2390</v>
      </c>
      <c r="H504" s="3" t="s">
        <v>0</v>
      </c>
      <c r="I504" s="3" t="s">
        <v>2391</v>
      </c>
      <c r="J504" s="3" t="s">
        <v>2392</v>
      </c>
      <c r="K504" s="3" t="s">
        <v>41</v>
      </c>
      <c r="L504" s="3" t="s">
        <v>453</v>
      </c>
      <c r="M504" s="3">
        <v>5</v>
      </c>
      <c r="N504" s="3">
        <v>14</v>
      </c>
      <c r="O504" s="3" t="s">
        <v>55</v>
      </c>
      <c r="P504" s="3" t="s">
        <v>44</v>
      </c>
      <c r="Q504" s="3">
        <v>0</v>
      </c>
      <c r="R504" s="3">
        <v>0</v>
      </c>
      <c r="S504" s="3">
        <v>0</v>
      </c>
      <c r="T504" s="3">
        <v>0</v>
      </c>
      <c r="U504" s="3">
        <v>2</v>
      </c>
      <c r="V504" s="3" t="s">
        <v>2267</v>
      </c>
      <c r="W504" s="3">
        <v>0</v>
      </c>
      <c r="X504" s="3">
        <v>2</v>
      </c>
      <c r="Y504" s="3">
        <v>2</v>
      </c>
      <c r="Z504" s="3">
        <v>1</v>
      </c>
      <c r="AA504" s="3">
        <v>0</v>
      </c>
      <c r="AB504" s="3">
        <v>0</v>
      </c>
      <c r="AC504" s="3">
        <v>12</v>
      </c>
      <c r="AD504" s="3" t="s">
        <v>0</v>
      </c>
      <c r="AE504" s="3" t="s">
        <v>46</v>
      </c>
    </row>
    <row r="505" spans="1:31" ht="63.75" x14ac:dyDescent="0.2">
      <c r="A505" s="4" t="str">
        <f>HYPERLINK("http://www.patentics.cn/invokexml.do?sf=ShowPatent&amp;spn=CN201637206&amp;sv=d92e33339591616c3446c12fb4ed6ede","CN201637206")</f>
        <v>CN201637206</v>
      </c>
      <c r="B505" s="2" t="s">
        <v>2393</v>
      </c>
      <c r="C505" s="2" t="s">
        <v>2394</v>
      </c>
      <c r="D505" s="2" t="s">
        <v>246</v>
      </c>
      <c r="E505" s="2" t="s">
        <v>36</v>
      </c>
      <c r="F505" s="2" t="s">
        <v>2395</v>
      </c>
      <c r="G505" s="2" t="s">
        <v>2396</v>
      </c>
      <c r="H505" s="2" t="s">
        <v>0</v>
      </c>
      <c r="I505" s="2" t="s">
        <v>707</v>
      </c>
      <c r="J505" s="2" t="s">
        <v>1947</v>
      </c>
      <c r="K505" s="2" t="s">
        <v>347</v>
      </c>
      <c r="L505" s="2" t="s">
        <v>1133</v>
      </c>
      <c r="M505" s="2">
        <v>5</v>
      </c>
      <c r="N505" s="2">
        <v>14</v>
      </c>
      <c r="O505" s="2" t="s">
        <v>55</v>
      </c>
      <c r="P505" s="2" t="s">
        <v>44</v>
      </c>
      <c r="Q505" s="2">
        <v>1</v>
      </c>
      <c r="R505" s="2">
        <v>0</v>
      </c>
      <c r="S505" s="2">
        <v>1</v>
      </c>
      <c r="T505" s="2">
        <v>1</v>
      </c>
      <c r="U505" s="2">
        <v>2</v>
      </c>
      <c r="V505" s="2" t="s">
        <v>797</v>
      </c>
      <c r="W505" s="2">
        <v>2</v>
      </c>
      <c r="X505" s="2">
        <v>0</v>
      </c>
      <c r="Y505" s="2">
        <v>1</v>
      </c>
      <c r="Z505" s="2">
        <v>1</v>
      </c>
      <c r="AA505" s="2">
        <v>0</v>
      </c>
      <c r="AB505" s="2">
        <v>0</v>
      </c>
      <c r="AC505" s="2" t="s">
        <v>0</v>
      </c>
      <c r="AD505" s="2">
        <v>1</v>
      </c>
      <c r="AE505" s="2" t="s">
        <v>57</v>
      </c>
    </row>
    <row r="506" spans="1:31" ht="25.5" x14ac:dyDescent="0.2">
      <c r="A506" s="5" t="str">
        <f>HYPERLINK("http://www.patentics.cn/invokexml.do?sf=ShowPatent&amp;spn=CN201032314&amp;sv=1b539d6bb2bc15bdfef8fe6ac3832293","CN201032314")</f>
        <v>CN201032314</v>
      </c>
      <c r="B506" s="3" t="s">
        <v>2397</v>
      </c>
      <c r="C506" s="3" t="s">
        <v>2398</v>
      </c>
      <c r="D506" s="3" t="s">
        <v>49</v>
      </c>
      <c r="E506" s="3" t="s">
        <v>50</v>
      </c>
      <c r="F506" s="3" t="s">
        <v>2399</v>
      </c>
      <c r="G506" s="3" t="s">
        <v>1799</v>
      </c>
      <c r="H506" s="3" t="s">
        <v>0</v>
      </c>
      <c r="I506" s="3" t="s">
        <v>2400</v>
      </c>
      <c r="J506" s="3" t="s">
        <v>2401</v>
      </c>
      <c r="K506" s="3" t="s">
        <v>347</v>
      </c>
      <c r="L506" s="3" t="s">
        <v>2011</v>
      </c>
      <c r="M506" s="3">
        <v>10</v>
      </c>
      <c r="N506" s="3">
        <v>13</v>
      </c>
      <c r="O506" s="3" t="s">
        <v>55</v>
      </c>
      <c r="P506" s="3" t="s">
        <v>44</v>
      </c>
      <c r="Q506" s="3">
        <v>0</v>
      </c>
      <c r="R506" s="3">
        <v>0</v>
      </c>
      <c r="S506" s="3">
        <v>0</v>
      </c>
      <c r="T506" s="3">
        <v>0</v>
      </c>
      <c r="U506" s="3">
        <v>1</v>
      </c>
      <c r="V506" s="3" t="s">
        <v>553</v>
      </c>
      <c r="W506" s="3">
        <v>0</v>
      </c>
      <c r="X506" s="3">
        <v>1</v>
      </c>
      <c r="Y506" s="3">
        <v>1</v>
      </c>
      <c r="Z506" s="3">
        <v>1</v>
      </c>
      <c r="AA506" s="3">
        <v>0</v>
      </c>
      <c r="AB506" s="3">
        <v>0</v>
      </c>
      <c r="AC506" s="3">
        <v>12</v>
      </c>
      <c r="AD506" s="3" t="s">
        <v>0</v>
      </c>
      <c r="AE506" s="3" t="s">
        <v>46</v>
      </c>
    </row>
    <row r="507" spans="1:31" ht="25.5" x14ac:dyDescent="0.2">
      <c r="A507" s="4" t="str">
        <f>HYPERLINK("http://www.patentics.cn/invokexml.do?sf=ShowPatent&amp;spn=CN101789685&amp;sv=7422dd89c211c42dc532998961b6806d","CN101789685")</f>
        <v>CN101789685</v>
      </c>
      <c r="B507" s="2" t="s">
        <v>1774</v>
      </c>
      <c r="C507" s="2" t="s">
        <v>1775</v>
      </c>
      <c r="D507" s="2" t="s">
        <v>246</v>
      </c>
      <c r="E507" s="2" t="s">
        <v>36</v>
      </c>
      <c r="F507" s="2" t="s">
        <v>1707</v>
      </c>
      <c r="G507" s="2" t="s">
        <v>1707</v>
      </c>
      <c r="H507" s="2" t="s">
        <v>1776</v>
      </c>
      <c r="I507" s="2" t="s">
        <v>1776</v>
      </c>
      <c r="J507" s="2" t="s">
        <v>2093</v>
      </c>
      <c r="K507" s="2" t="s">
        <v>870</v>
      </c>
      <c r="L507" s="2" t="s">
        <v>1777</v>
      </c>
      <c r="M507" s="2">
        <v>4</v>
      </c>
      <c r="N507" s="2">
        <v>31</v>
      </c>
      <c r="O507" s="2" t="s">
        <v>75</v>
      </c>
      <c r="P507" s="2" t="s">
        <v>44</v>
      </c>
      <c r="Q507" s="2">
        <v>1</v>
      </c>
      <c r="R507" s="2">
        <v>0</v>
      </c>
      <c r="S507" s="2">
        <v>1</v>
      </c>
      <c r="T507" s="2">
        <v>1</v>
      </c>
      <c r="U507" s="2">
        <v>0</v>
      </c>
      <c r="V507" s="2" t="s">
        <v>45</v>
      </c>
      <c r="W507" s="2">
        <v>0</v>
      </c>
      <c r="X507" s="2">
        <v>0</v>
      </c>
      <c r="Y507" s="2">
        <v>0</v>
      </c>
      <c r="Z507" s="2">
        <v>0</v>
      </c>
      <c r="AA507" s="2">
        <v>1</v>
      </c>
      <c r="AB507" s="2">
        <v>1</v>
      </c>
      <c r="AC507" s="2" t="s">
        <v>0</v>
      </c>
      <c r="AD507" s="2">
        <v>1</v>
      </c>
      <c r="AE507" s="2" t="s">
        <v>46</v>
      </c>
    </row>
    <row r="508" spans="1:31" ht="38.25" x14ac:dyDescent="0.2">
      <c r="A508" s="5" t="str">
        <f>HYPERLINK("http://www.patentics.cn/invokexml.do?sf=ShowPatent&amp;spn=CN101217254&amp;sv=866c971018e7304a681c6dd11e1def03","CN101217254")</f>
        <v>CN101217254</v>
      </c>
      <c r="B508" s="3" t="s">
        <v>1778</v>
      </c>
      <c r="C508" s="3" t="s">
        <v>1779</v>
      </c>
      <c r="D508" s="3" t="s">
        <v>49</v>
      </c>
      <c r="E508" s="3" t="s">
        <v>50</v>
      </c>
      <c r="F508" s="3" t="s">
        <v>1780</v>
      </c>
      <c r="G508" s="3" t="s">
        <v>253</v>
      </c>
      <c r="H508" s="3" t="s">
        <v>0</v>
      </c>
      <c r="I508" s="3" t="s">
        <v>1781</v>
      </c>
      <c r="J508" s="3" t="s">
        <v>1782</v>
      </c>
      <c r="K508" s="3" t="s">
        <v>870</v>
      </c>
      <c r="L508" s="3" t="s">
        <v>1777</v>
      </c>
      <c r="M508" s="3">
        <v>8</v>
      </c>
      <c r="N508" s="3">
        <v>10</v>
      </c>
      <c r="O508" s="3" t="s">
        <v>75</v>
      </c>
      <c r="P508" s="3" t="s">
        <v>44</v>
      </c>
      <c r="Q508" s="3">
        <v>0</v>
      </c>
      <c r="R508" s="3">
        <v>0</v>
      </c>
      <c r="S508" s="3">
        <v>0</v>
      </c>
      <c r="T508" s="3">
        <v>0</v>
      </c>
      <c r="U508" s="3">
        <v>3</v>
      </c>
      <c r="V508" s="3" t="s">
        <v>1783</v>
      </c>
      <c r="W508" s="3">
        <v>0</v>
      </c>
      <c r="X508" s="3">
        <v>3</v>
      </c>
      <c r="Y508" s="3">
        <v>2</v>
      </c>
      <c r="Z508" s="3">
        <v>2</v>
      </c>
      <c r="AA508" s="3">
        <v>0</v>
      </c>
      <c r="AB508" s="3">
        <v>0</v>
      </c>
      <c r="AC508" s="3">
        <v>12</v>
      </c>
      <c r="AD508" s="3" t="s">
        <v>0</v>
      </c>
      <c r="AE508" s="3" t="s">
        <v>100</v>
      </c>
    </row>
    <row r="509" spans="1:31" ht="38.25" x14ac:dyDescent="0.2">
      <c r="A509" s="4" t="str">
        <f>HYPERLINK("http://www.patentics.cn/invokexml.do?sf=ShowPatent&amp;spn=CN101739534&amp;sv=5ab87dd67d703a37c5b824852fc7deee","CN101739534")</f>
        <v>CN101739534</v>
      </c>
      <c r="B509" s="2" t="s">
        <v>2402</v>
      </c>
      <c r="C509" s="2" t="s">
        <v>2403</v>
      </c>
      <c r="D509" s="2" t="s">
        <v>36</v>
      </c>
      <c r="E509" s="2" t="s">
        <v>36</v>
      </c>
      <c r="F509" s="2" t="s">
        <v>2404</v>
      </c>
      <c r="G509" s="2" t="s">
        <v>2322</v>
      </c>
      <c r="H509" s="2" t="s">
        <v>0</v>
      </c>
      <c r="I509" s="2" t="s">
        <v>507</v>
      </c>
      <c r="J509" s="2" t="s">
        <v>2405</v>
      </c>
      <c r="K509" s="2" t="s">
        <v>1828</v>
      </c>
      <c r="L509" s="2" t="s">
        <v>2325</v>
      </c>
      <c r="M509" s="2">
        <v>8</v>
      </c>
      <c r="N509" s="2">
        <v>18</v>
      </c>
      <c r="O509" s="2" t="s">
        <v>75</v>
      </c>
      <c r="P509" s="2" t="s">
        <v>44</v>
      </c>
      <c r="Q509" s="2">
        <v>1</v>
      </c>
      <c r="R509" s="2">
        <v>0</v>
      </c>
      <c r="S509" s="2">
        <v>1</v>
      </c>
      <c r="T509" s="2">
        <v>1</v>
      </c>
      <c r="U509" s="2">
        <v>1</v>
      </c>
      <c r="V509" s="2" t="s">
        <v>56</v>
      </c>
      <c r="W509" s="2">
        <v>1</v>
      </c>
      <c r="X509" s="2">
        <v>0</v>
      </c>
      <c r="Y509" s="2">
        <v>1</v>
      </c>
      <c r="Z509" s="2">
        <v>1</v>
      </c>
      <c r="AA509" s="2">
        <v>0</v>
      </c>
      <c r="AB509" s="2">
        <v>0</v>
      </c>
      <c r="AC509" s="2" t="s">
        <v>0</v>
      </c>
      <c r="AD509" s="2">
        <v>1</v>
      </c>
      <c r="AE509" s="2" t="s">
        <v>100</v>
      </c>
    </row>
    <row r="510" spans="1:31" ht="51" x14ac:dyDescent="0.2">
      <c r="A510" s="5" t="str">
        <f>HYPERLINK("http://www.patentics.cn/invokexml.do?sf=ShowPatent&amp;spn=CN1746905&amp;sv=edcde8fa741a6122aaf0a8031c249e87","CN1746905")</f>
        <v>CN1746905</v>
      </c>
      <c r="B510" s="3" t="s">
        <v>1830</v>
      </c>
      <c r="C510" s="3" t="s">
        <v>1831</v>
      </c>
      <c r="D510" s="3" t="s">
        <v>49</v>
      </c>
      <c r="E510" s="3" t="s">
        <v>50</v>
      </c>
      <c r="F510" s="3" t="s">
        <v>1832</v>
      </c>
      <c r="G510" s="3" t="s">
        <v>52</v>
      </c>
      <c r="H510" s="3" t="s">
        <v>1833</v>
      </c>
      <c r="I510" s="3" t="s">
        <v>1833</v>
      </c>
      <c r="J510" s="3" t="s">
        <v>1834</v>
      </c>
      <c r="K510" s="3" t="s">
        <v>1828</v>
      </c>
      <c r="L510" s="3" t="s">
        <v>1829</v>
      </c>
      <c r="M510" s="3">
        <v>10</v>
      </c>
      <c r="N510" s="3">
        <v>30</v>
      </c>
      <c r="O510" s="3" t="s">
        <v>75</v>
      </c>
      <c r="P510" s="3" t="s">
        <v>44</v>
      </c>
      <c r="Q510" s="3">
        <v>0</v>
      </c>
      <c r="R510" s="3">
        <v>0</v>
      </c>
      <c r="S510" s="3">
        <v>0</v>
      </c>
      <c r="T510" s="3">
        <v>0</v>
      </c>
      <c r="U510" s="3">
        <v>5</v>
      </c>
      <c r="V510" s="3" t="s">
        <v>1835</v>
      </c>
      <c r="W510" s="3">
        <v>0</v>
      </c>
      <c r="X510" s="3">
        <v>5</v>
      </c>
      <c r="Y510" s="3">
        <v>2</v>
      </c>
      <c r="Z510" s="3">
        <v>1</v>
      </c>
      <c r="AA510" s="3">
        <v>1</v>
      </c>
      <c r="AB510" s="3">
        <v>1</v>
      </c>
      <c r="AC510" s="3">
        <v>12</v>
      </c>
      <c r="AD510" s="3" t="s">
        <v>0</v>
      </c>
      <c r="AE510" s="3" t="s">
        <v>46</v>
      </c>
    </row>
    <row r="511" spans="1:31" ht="25.5" x14ac:dyDescent="0.2">
      <c r="A511" s="4" t="str">
        <f>HYPERLINK("http://www.patentics.cn/invokexml.do?sf=ShowPatent&amp;spn=CN201476246&amp;sv=5a4c4fd405044ac8658ecdb68571eee2","CN201476246")</f>
        <v>CN201476246</v>
      </c>
      <c r="B511" s="2" t="s">
        <v>2406</v>
      </c>
      <c r="C511" s="2" t="s">
        <v>2407</v>
      </c>
      <c r="D511" s="2" t="s">
        <v>246</v>
      </c>
      <c r="E511" s="2" t="s">
        <v>36</v>
      </c>
      <c r="F511" s="2" t="s">
        <v>2408</v>
      </c>
      <c r="G511" s="2" t="s">
        <v>2409</v>
      </c>
      <c r="H511" s="2" t="s">
        <v>0</v>
      </c>
      <c r="I511" s="2" t="s">
        <v>2410</v>
      </c>
      <c r="J511" s="2" t="s">
        <v>2411</v>
      </c>
      <c r="K511" s="2" t="s">
        <v>41</v>
      </c>
      <c r="L511" s="2" t="s">
        <v>453</v>
      </c>
      <c r="M511" s="2">
        <v>7</v>
      </c>
      <c r="N511" s="2">
        <v>9</v>
      </c>
      <c r="O511" s="2" t="s">
        <v>55</v>
      </c>
      <c r="P511" s="2" t="s">
        <v>44</v>
      </c>
      <c r="Q511" s="2">
        <v>1</v>
      </c>
      <c r="R511" s="2">
        <v>0</v>
      </c>
      <c r="S511" s="2">
        <v>1</v>
      </c>
      <c r="T511" s="2">
        <v>1</v>
      </c>
      <c r="U511" s="2">
        <v>0</v>
      </c>
      <c r="V511" s="2" t="s">
        <v>45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 t="s">
        <v>0</v>
      </c>
      <c r="AD511" s="2">
        <v>1</v>
      </c>
      <c r="AE511" s="2" t="s">
        <v>57</v>
      </c>
    </row>
    <row r="512" spans="1:31" ht="63.75" x14ac:dyDescent="0.2">
      <c r="A512" s="5" t="str">
        <f>HYPERLINK("http://www.patentics.cn/invokexml.do?sf=ShowPatent&amp;spn=CN201093677&amp;sv=c55f377eaa540dc68a9227577c2fbbd4","CN201093677")</f>
        <v>CN201093677</v>
      </c>
      <c r="B512" s="3" t="s">
        <v>2412</v>
      </c>
      <c r="C512" s="3" t="s">
        <v>2413</v>
      </c>
      <c r="D512" s="3" t="s">
        <v>49</v>
      </c>
      <c r="E512" s="3" t="s">
        <v>50</v>
      </c>
      <c r="F512" s="3" t="s">
        <v>2414</v>
      </c>
      <c r="G512" s="3" t="s">
        <v>253</v>
      </c>
      <c r="H512" s="3" t="s">
        <v>0</v>
      </c>
      <c r="I512" s="3" t="s">
        <v>2415</v>
      </c>
      <c r="J512" s="3" t="s">
        <v>261</v>
      </c>
      <c r="K512" s="3" t="s">
        <v>41</v>
      </c>
      <c r="L512" s="3" t="s">
        <v>453</v>
      </c>
      <c r="M512" s="3">
        <v>10</v>
      </c>
      <c r="N512" s="3">
        <v>10</v>
      </c>
      <c r="O512" s="3" t="s">
        <v>55</v>
      </c>
      <c r="P512" s="3" t="s">
        <v>44</v>
      </c>
      <c r="Q512" s="3">
        <v>0</v>
      </c>
      <c r="R512" s="3">
        <v>0</v>
      </c>
      <c r="S512" s="3">
        <v>0</v>
      </c>
      <c r="T512" s="3">
        <v>0</v>
      </c>
      <c r="U512" s="3">
        <v>1</v>
      </c>
      <c r="V512" s="3" t="s">
        <v>553</v>
      </c>
      <c r="W512" s="3">
        <v>0</v>
      </c>
      <c r="X512" s="3">
        <v>1</v>
      </c>
      <c r="Y512" s="3">
        <v>1</v>
      </c>
      <c r="Z512" s="3">
        <v>1</v>
      </c>
      <c r="AA512" s="3">
        <v>0</v>
      </c>
      <c r="AB512" s="3">
        <v>0</v>
      </c>
      <c r="AC512" s="3">
        <v>12</v>
      </c>
      <c r="AD512" s="3" t="s">
        <v>0</v>
      </c>
      <c r="AE512" s="3" t="s">
        <v>46</v>
      </c>
    </row>
    <row r="513" spans="1:31" ht="38.25" x14ac:dyDescent="0.2">
      <c r="A513" s="4" t="str">
        <f>HYPERLINK("http://www.patentics.cn/invokexml.do?sf=ShowPatent&amp;spn=CN201448941&amp;sv=233136196db2468ea75eafe37bddb7b5","CN201448941")</f>
        <v>CN201448941</v>
      </c>
      <c r="B513" s="2" t="s">
        <v>2416</v>
      </c>
      <c r="C513" s="2" t="s">
        <v>2417</v>
      </c>
      <c r="D513" s="2" t="s">
        <v>246</v>
      </c>
      <c r="E513" s="2" t="s">
        <v>36</v>
      </c>
      <c r="F513" s="2" t="s">
        <v>2418</v>
      </c>
      <c r="G513" s="2" t="s">
        <v>585</v>
      </c>
      <c r="H513" s="2" t="s">
        <v>0</v>
      </c>
      <c r="I513" s="2" t="s">
        <v>2419</v>
      </c>
      <c r="J513" s="2" t="s">
        <v>452</v>
      </c>
      <c r="K513" s="2" t="s">
        <v>41</v>
      </c>
      <c r="L513" s="2" t="s">
        <v>42</v>
      </c>
      <c r="M513" s="2">
        <v>10</v>
      </c>
      <c r="N513" s="2">
        <v>11</v>
      </c>
      <c r="O513" s="2" t="s">
        <v>55</v>
      </c>
      <c r="P513" s="2" t="s">
        <v>44</v>
      </c>
      <c r="Q513" s="2">
        <v>2</v>
      </c>
      <c r="R513" s="2">
        <v>0</v>
      </c>
      <c r="S513" s="2">
        <v>2</v>
      </c>
      <c r="T513" s="2">
        <v>2</v>
      </c>
      <c r="U513" s="2">
        <v>0</v>
      </c>
      <c r="V513" s="2" t="s">
        <v>45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 t="s">
        <v>0</v>
      </c>
      <c r="AD513" s="2">
        <v>1</v>
      </c>
      <c r="AE513" s="2" t="s">
        <v>46</v>
      </c>
    </row>
    <row r="514" spans="1:31" ht="51" x14ac:dyDescent="0.2">
      <c r="A514" s="5" t="str">
        <f>HYPERLINK("http://www.patentics.cn/invokexml.do?sf=ShowPatent&amp;spn=CN201196463&amp;sv=07cd08c429e2920c21657edd5b7d8808","CN201196463")</f>
        <v>CN201196463</v>
      </c>
      <c r="B514" s="3" t="s">
        <v>2331</v>
      </c>
      <c r="C514" s="3" t="s">
        <v>2332</v>
      </c>
      <c r="D514" s="3" t="s">
        <v>49</v>
      </c>
      <c r="E514" s="3" t="s">
        <v>50</v>
      </c>
      <c r="F514" s="3" t="s">
        <v>2333</v>
      </c>
      <c r="G514" s="3" t="s">
        <v>253</v>
      </c>
      <c r="H514" s="3" t="s">
        <v>0</v>
      </c>
      <c r="I514" s="3" t="s">
        <v>2334</v>
      </c>
      <c r="J514" s="3" t="s">
        <v>2335</v>
      </c>
      <c r="K514" s="3" t="s">
        <v>41</v>
      </c>
      <c r="L514" s="3" t="s">
        <v>428</v>
      </c>
      <c r="M514" s="3">
        <v>9</v>
      </c>
      <c r="N514" s="3">
        <v>17</v>
      </c>
      <c r="O514" s="3" t="s">
        <v>55</v>
      </c>
      <c r="P514" s="3" t="s">
        <v>44</v>
      </c>
      <c r="Q514" s="3">
        <v>1</v>
      </c>
      <c r="R514" s="3">
        <v>0</v>
      </c>
      <c r="S514" s="3">
        <v>1</v>
      </c>
      <c r="T514" s="3">
        <v>1</v>
      </c>
      <c r="U514" s="3">
        <v>4</v>
      </c>
      <c r="V514" s="3" t="s">
        <v>2267</v>
      </c>
      <c r="W514" s="3">
        <v>0</v>
      </c>
      <c r="X514" s="3">
        <v>4</v>
      </c>
      <c r="Y514" s="3">
        <v>2</v>
      </c>
      <c r="Z514" s="3">
        <v>1</v>
      </c>
      <c r="AA514" s="3">
        <v>0</v>
      </c>
      <c r="AB514" s="3">
        <v>0</v>
      </c>
      <c r="AC514" s="3">
        <v>12</v>
      </c>
      <c r="AD514" s="3" t="s">
        <v>0</v>
      </c>
      <c r="AE514" s="3" t="s">
        <v>57</v>
      </c>
    </row>
    <row r="515" spans="1:31" ht="25.5" x14ac:dyDescent="0.2">
      <c r="A515" s="4" t="str">
        <f>HYPERLINK("http://www.patentics.cn/invokexml.do?sf=ShowPatent&amp;spn=CN201407207&amp;sv=e21a4eb64b3822f866780b634f1410ee","CN201407207")</f>
        <v>CN201407207</v>
      </c>
      <c r="B515" s="2" t="s">
        <v>2420</v>
      </c>
      <c r="C515" s="2" t="s">
        <v>2421</v>
      </c>
      <c r="D515" s="2" t="s">
        <v>246</v>
      </c>
      <c r="E515" s="2" t="s">
        <v>36</v>
      </c>
      <c r="F515" s="2" t="s">
        <v>2422</v>
      </c>
      <c r="G515" s="2" t="s">
        <v>2423</v>
      </c>
      <c r="H515" s="2" t="s">
        <v>0</v>
      </c>
      <c r="I515" s="2" t="s">
        <v>2424</v>
      </c>
      <c r="J515" s="2" t="s">
        <v>2425</v>
      </c>
      <c r="K515" s="2" t="s">
        <v>789</v>
      </c>
      <c r="L515" s="2" t="s">
        <v>1760</v>
      </c>
      <c r="M515" s="2">
        <v>6</v>
      </c>
      <c r="N515" s="2">
        <v>11</v>
      </c>
      <c r="O515" s="2" t="s">
        <v>55</v>
      </c>
      <c r="P515" s="2" t="s">
        <v>44</v>
      </c>
      <c r="Q515" s="2">
        <v>3</v>
      </c>
      <c r="R515" s="2">
        <v>0</v>
      </c>
      <c r="S515" s="2">
        <v>3</v>
      </c>
      <c r="T515" s="2">
        <v>3</v>
      </c>
      <c r="U515" s="2">
        <v>1</v>
      </c>
      <c r="V515" s="2" t="s">
        <v>177</v>
      </c>
      <c r="W515" s="2">
        <v>1</v>
      </c>
      <c r="X515" s="2">
        <v>0</v>
      </c>
      <c r="Y515" s="2">
        <v>1</v>
      </c>
      <c r="Z515" s="2">
        <v>1</v>
      </c>
      <c r="AA515" s="2">
        <v>0</v>
      </c>
      <c r="AB515" s="2">
        <v>0</v>
      </c>
      <c r="AC515" s="2" t="s">
        <v>0</v>
      </c>
      <c r="AD515" s="2">
        <v>1</v>
      </c>
      <c r="AE515" s="2" t="s">
        <v>46</v>
      </c>
    </row>
    <row r="516" spans="1:31" ht="38.25" x14ac:dyDescent="0.2">
      <c r="A516" s="5" t="str">
        <f>HYPERLINK("http://www.patentics.cn/invokexml.do?sf=ShowPatent&amp;spn=CN2900879&amp;sv=7101f978360acf34e9f743a78eb0745f","CN2900879")</f>
        <v>CN2900879</v>
      </c>
      <c r="B516" s="3" t="s">
        <v>1761</v>
      </c>
      <c r="C516" s="3" t="s">
        <v>1762</v>
      </c>
      <c r="D516" s="3" t="s">
        <v>49</v>
      </c>
      <c r="E516" s="3" t="s">
        <v>50</v>
      </c>
      <c r="F516" s="3" t="s">
        <v>1763</v>
      </c>
      <c r="G516" s="3" t="s">
        <v>1764</v>
      </c>
      <c r="H516" s="3" t="s">
        <v>0</v>
      </c>
      <c r="I516" s="3" t="s">
        <v>1765</v>
      </c>
      <c r="J516" s="3" t="s">
        <v>427</v>
      </c>
      <c r="K516" s="3" t="s">
        <v>789</v>
      </c>
      <c r="L516" s="3" t="s">
        <v>1766</v>
      </c>
      <c r="M516" s="3">
        <v>5</v>
      </c>
      <c r="N516" s="3">
        <v>10</v>
      </c>
      <c r="O516" s="3" t="s">
        <v>55</v>
      </c>
      <c r="P516" s="3" t="s">
        <v>44</v>
      </c>
      <c r="Q516" s="3">
        <v>0</v>
      </c>
      <c r="R516" s="3">
        <v>0</v>
      </c>
      <c r="S516" s="3">
        <v>0</v>
      </c>
      <c r="T516" s="3">
        <v>0</v>
      </c>
      <c r="U516" s="3">
        <v>2</v>
      </c>
      <c r="V516" s="3" t="s">
        <v>141</v>
      </c>
      <c r="W516" s="3">
        <v>0</v>
      </c>
      <c r="X516" s="3">
        <v>2</v>
      </c>
      <c r="Y516" s="3">
        <v>1</v>
      </c>
      <c r="Z516" s="3">
        <v>1</v>
      </c>
      <c r="AA516" s="3">
        <v>0</v>
      </c>
      <c r="AB516" s="3">
        <v>0</v>
      </c>
      <c r="AC516" s="3">
        <v>12</v>
      </c>
      <c r="AD516" s="3" t="s">
        <v>0</v>
      </c>
      <c r="AE516" s="3" t="s">
        <v>57</v>
      </c>
    </row>
    <row r="517" spans="1:31" ht="51" x14ac:dyDescent="0.2">
      <c r="A517" s="4" t="str">
        <f>HYPERLINK("http://www.patentics.cn/invokexml.do?sf=ShowPatent&amp;spn=CN201382710&amp;sv=0b28dbe188ed4bdcad2be03b0a313352","CN201382710")</f>
        <v>CN201382710</v>
      </c>
      <c r="B517" s="2" t="s">
        <v>2426</v>
      </c>
      <c r="C517" s="2" t="s">
        <v>2427</v>
      </c>
      <c r="D517" s="2" t="s">
        <v>246</v>
      </c>
      <c r="E517" s="2" t="s">
        <v>36</v>
      </c>
      <c r="F517" s="2" t="s">
        <v>2428</v>
      </c>
      <c r="G517" s="2" t="s">
        <v>2429</v>
      </c>
      <c r="H517" s="2" t="s">
        <v>0</v>
      </c>
      <c r="I517" s="2" t="s">
        <v>2430</v>
      </c>
      <c r="J517" s="2" t="s">
        <v>2431</v>
      </c>
      <c r="K517" s="2" t="s">
        <v>1211</v>
      </c>
      <c r="L517" s="2" t="s">
        <v>1212</v>
      </c>
      <c r="M517" s="2">
        <v>8</v>
      </c>
      <c r="N517" s="2">
        <v>11</v>
      </c>
      <c r="O517" s="2" t="s">
        <v>55</v>
      </c>
      <c r="P517" s="2" t="s">
        <v>44</v>
      </c>
      <c r="Q517" s="2">
        <v>2</v>
      </c>
      <c r="R517" s="2">
        <v>0</v>
      </c>
      <c r="S517" s="2">
        <v>2</v>
      </c>
      <c r="T517" s="2">
        <v>2</v>
      </c>
      <c r="U517" s="2">
        <v>0</v>
      </c>
      <c r="V517" s="2" t="s">
        <v>45</v>
      </c>
      <c r="W517" s="2">
        <v>0</v>
      </c>
      <c r="X517" s="2">
        <v>0</v>
      </c>
      <c r="Y517" s="2">
        <v>0</v>
      </c>
      <c r="Z517" s="2">
        <v>0</v>
      </c>
      <c r="AA517" s="2">
        <v>0</v>
      </c>
      <c r="AB517" s="2">
        <v>0</v>
      </c>
      <c r="AC517" s="2" t="s">
        <v>0</v>
      </c>
      <c r="AD517" s="2">
        <v>1</v>
      </c>
      <c r="AE517" s="2" t="s">
        <v>46</v>
      </c>
    </row>
    <row r="518" spans="1:31" ht="38.25" x14ac:dyDescent="0.2">
      <c r="A518" s="5" t="str">
        <f>HYPERLINK("http://www.patentics.cn/invokexml.do?sf=ShowPatent&amp;spn=CN201059904&amp;sv=7ef94c19b4c64fd53d4efab78c667732","CN201059904")</f>
        <v>CN201059904</v>
      </c>
      <c r="B518" s="3" t="s">
        <v>2432</v>
      </c>
      <c r="C518" s="3" t="s">
        <v>2433</v>
      </c>
      <c r="D518" s="3" t="s">
        <v>49</v>
      </c>
      <c r="E518" s="3" t="s">
        <v>50</v>
      </c>
      <c r="F518" s="3" t="s">
        <v>2434</v>
      </c>
      <c r="G518" s="3" t="s">
        <v>1015</v>
      </c>
      <c r="H518" s="3" t="s">
        <v>0</v>
      </c>
      <c r="I518" s="3" t="s">
        <v>2435</v>
      </c>
      <c r="J518" s="3" t="s">
        <v>2436</v>
      </c>
      <c r="K518" s="3" t="s">
        <v>1017</v>
      </c>
      <c r="L518" s="3" t="s">
        <v>2437</v>
      </c>
      <c r="M518" s="3">
        <v>8</v>
      </c>
      <c r="N518" s="3">
        <v>14</v>
      </c>
      <c r="O518" s="3" t="s">
        <v>55</v>
      </c>
      <c r="P518" s="3" t="s">
        <v>44</v>
      </c>
      <c r="Q518" s="3">
        <v>0</v>
      </c>
      <c r="R518" s="3">
        <v>0</v>
      </c>
      <c r="S518" s="3">
        <v>0</v>
      </c>
      <c r="T518" s="3">
        <v>0</v>
      </c>
      <c r="U518" s="3">
        <v>2</v>
      </c>
      <c r="V518" s="3" t="s">
        <v>553</v>
      </c>
      <c r="W518" s="3">
        <v>0</v>
      </c>
      <c r="X518" s="3">
        <v>2</v>
      </c>
      <c r="Y518" s="3">
        <v>1</v>
      </c>
      <c r="Z518" s="3">
        <v>1</v>
      </c>
      <c r="AA518" s="3">
        <v>0</v>
      </c>
      <c r="AB518" s="3">
        <v>0</v>
      </c>
      <c r="AC518" s="3">
        <v>12</v>
      </c>
      <c r="AD518" s="3" t="s">
        <v>0</v>
      </c>
      <c r="AE518" s="3" t="s">
        <v>46</v>
      </c>
    </row>
    <row r="519" spans="1:31" ht="25.5" x14ac:dyDescent="0.2">
      <c r="A519" s="4" t="str">
        <f>HYPERLINK("http://www.patentics.cn/invokexml.do?sf=ShowPatent&amp;spn=CN201348313&amp;sv=b11480f5c92f94a644d759ff978c2ada","CN201348313")</f>
        <v>CN201348313</v>
      </c>
      <c r="B519" s="2" t="s">
        <v>2438</v>
      </c>
      <c r="C519" s="2" t="s">
        <v>2439</v>
      </c>
      <c r="D519" s="2" t="s">
        <v>246</v>
      </c>
      <c r="E519" s="2" t="s">
        <v>36</v>
      </c>
      <c r="F519" s="2" t="s">
        <v>2440</v>
      </c>
      <c r="G519" s="2" t="s">
        <v>2441</v>
      </c>
      <c r="H519" s="2" t="s">
        <v>0</v>
      </c>
      <c r="I519" s="2" t="s">
        <v>2442</v>
      </c>
      <c r="J519" s="2" t="s">
        <v>2443</v>
      </c>
      <c r="K519" s="2" t="s">
        <v>41</v>
      </c>
      <c r="L519" s="2" t="s">
        <v>42</v>
      </c>
      <c r="M519" s="2">
        <v>7</v>
      </c>
      <c r="N519" s="2">
        <v>12</v>
      </c>
      <c r="O519" s="2" t="s">
        <v>55</v>
      </c>
      <c r="P519" s="2" t="s">
        <v>44</v>
      </c>
      <c r="Q519" s="2">
        <v>1</v>
      </c>
      <c r="R519" s="2">
        <v>0</v>
      </c>
      <c r="S519" s="2">
        <v>1</v>
      </c>
      <c r="T519" s="2">
        <v>1</v>
      </c>
      <c r="U519" s="2">
        <v>0</v>
      </c>
      <c r="V519" s="2" t="s">
        <v>45</v>
      </c>
      <c r="W519" s="2">
        <v>0</v>
      </c>
      <c r="X519" s="2">
        <v>0</v>
      </c>
      <c r="Y519" s="2">
        <v>0</v>
      </c>
      <c r="Z519" s="2">
        <v>0</v>
      </c>
      <c r="AA519" s="2">
        <v>0</v>
      </c>
      <c r="AB519" s="2">
        <v>0</v>
      </c>
      <c r="AC519" s="2" t="s">
        <v>0</v>
      </c>
      <c r="AD519" s="2">
        <v>1</v>
      </c>
      <c r="AE519" s="2" t="s">
        <v>46</v>
      </c>
    </row>
    <row r="520" spans="1:31" ht="63.75" x14ac:dyDescent="0.2">
      <c r="A520" s="5" t="str">
        <f>HYPERLINK("http://www.patentics.cn/invokexml.do?sf=ShowPatent&amp;spn=CN201103990&amp;sv=ae2028ad08cd9351325e648441004618","CN201103990")</f>
        <v>CN201103990</v>
      </c>
      <c r="B520" s="3" t="s">
        <v>2444</v>
      </c>
      <c r="C520" s="3" t="s">
        <v>2445</v>
      </c>
      <c r="D520" s="3" t="s">
        <v>49</v>
      </c>
      <c r="E520" s="3" t="s">
        <v>50</v>
      </c>
      <c r="F520" s="3" t="s">
        <v>2446</v>
      </c>
      <c r="G520" s="3" t="s">
        <v>253</v>
      </c>
      <c r="H520" s="3" t="s">
        <v>0</v>
      </c>
      <c r="I520" s="3" t="s">
        <v>2447</v>
      </c>
      <c r="J520" s="3" t="s">
        <v>98</v>
      </c>
      <c r="K520" s="3" t="s">
        <v>41</v>
      </c>
      <c r="L520" s="3" t="s">
        <v>1743</v>
      </c>
      <c r="M520" s="3">
        <v>10</v>
      </c>
      <c r="N520" s="3">
        <v>21</v>
      </c>
      <c r="O520" s="3" t="s">
        <v>55</v>
      </c>
      <c r="P520" s="3" t="s">
        <v>44</v>
      </c>
      <c r="Q520" s="3">
        <v>0</v>
      </c>
      <c r="R520" s="3">
        <v>0</v>
      </c>
      <c r="S520" s="3">
        <v>0</v>
      </c>
      <c r="T520" s="3">
        <v>0</v>
      </c>
      <c r="U520" s="3">
        <v>1</v>
      </c>
      <c r="V520" s="3" t="s">
        <v>553</v>
      </c>
      <c r="W520" s="3">
        <v>0</v>
      </c>
      <c r="X520" s="3">
        <v>1</v>
      </c>
      <c r="Y520" s="3">
        <v>1</v>
      </c>
      <c r="Z520" s="3">
        <v>1</v>
      </c>
      <c r="AA520" s="3">
        <v>0</v>
      </c>
      <c r="AB520" s="3">
        <v>0</v>
      </c>
      <c r="AC520" s="3">
        <v>12</v>
      </c>
      <c r="AD520" s="3" t="s">
        <v>0</v>
      </c>
      <c r="AE520" s="3" t="s">
        <v>46</v>
      </c>
    </row>
    <row r="521" spans="1:31" ht="25.5" x14ac:dyDescent="0.2">
      <c r="A521" s="4" t="str">
        <f>HYPERLINK("http://www.patentics.cn/invokexml.do?sf=ShowPatent&amp;spn=CN101561170&amp;sv=e94350703b657deefaaa7afb4f453e4d","CN101561170")</f>
        <v>CN101561170</v>
      </c>
      <c r="B521" s="2" t="s">
        <v>568</v>
      </c>
      <c r="C521" s="2" t="s">
        <v>569</v>
      </c>
      <c r="D521" s="2" t="s">
        <v>246</v>
      </c>
      <c r="E521" s="2" t="s">
        <v>36</v>
      </c>
      <c r="F521" s="2" t="s">
        <v>2448</v>
      </c>
      <c r="G521" s="2" t="s">
        <v>2449</v>
      </c>
      <c r="H521" s="2" t="s">
        <v>571</v>
      </c>
      <c r="I521" s="2" t="s">
        <v>571</v>
      </c>
      <c r="J521" s="2" t="s">
        <v>2392</v>
      </c>
      <c r="K521" s="2" t="s">
        <v>41</v>
      </c>
      <c r="L521" s="2" t="s">
        <v>84</v>
      </c>
      <c r="M521" s="2">
        <v>10</v>
      </c>
      <c r="N521" s="2">
        <v>6</v>
      </c>
      <c r="O521" s="2" t="s">
        <v>75</v>
      </c>
      <c r="P521" s="2" t="s">
        <v>44</v>
      </c>
      <c r="Q521" s="2">
        <v>1</v>
      </c>
      <c r="R521" s="2">
        <v>0</v>
      </c>
      <c r="S521" s="2">
        <v>1</v>
      </c>
      <c r="T521" s="2">
        <v>1</v>
      </c>
      <c r="U521" s="2">
        <v>0</v>
      </c>
      <c r="V521" s="2" t="s">
        <v>45</v>
      </c>
      <c r="W521" s="2">
        <v>0</v>
      </c>
      <c r="X521" s="2">
        <v>0</v>
      </c>
      <c r="Y521" s="2">
        <v>0</v>
      </c>
      <c r="Z521" s="2">
        <v>0</v>
      </c>
      <c r="AA521" s="2">
        <v>1</v>
      </c>
      <c r="AB521" s="2">
        <v>1</v>
      </c>
      <c r="AC521" s="2" t="s">
        <v>0</v>
      </c>
      <c r="AD521" s="2">
        <v>1</v>
      </c>
      <c r="AE521" s="2" t="s">
        <v>46</v>
      </c>
    </row>
    <row r="522" spans="1:31" ht="51" x14ac:dyDescent="0.2">
      <c r="A522" s="5" t="str">
        <f>HYPERLINK("http://www.patentics.cn/invokexml.do?sf=ShowPatent&amp;spn=CN101033882&amp;sv=b7dc1de2045356a037bb8d754e746ba7","CN101033882")</f>
        <v>CN101033882</v>
      </c>
      <c r="B522" s="3" t="s">
        <v>573</v>
      </c>
      <c r="C522" s="3" t="s">
        <v>574</v>
      </c>
      <c r="D522" s="3" t="s">
        <v>49</v>
      </c>
      <c r="E522" s="3" t="s">
        <v>50</v>
      </c>
      <c r="F522" s="3" t="s">
        <v>575</v>
      </c>
      <c r="G522" s="3" t="s">
        <v>88</v>
      </c>
      <c r="H522" s="3" t="s">
        <v>576</v>
      </c>
      <c r="I522" s="3" t="s">
        <v>576</v>
      </c>
      <c r="J522" s="3" t="s">
        <v>577</v>
      </c>
      <c r="K522" s="3" t="s">
        <v>41</v>
      </c>
      <c r="L522" s="3" t="s">
        <v>84</v>
      </c>
      <c r="M522" s="3">
        <v>21</v>
      </c>
      <c r="N522" s="3">
        <v>9</v>
      </c>
      <c r="O522" s="3" t="s">
        <v>75</v>
      </c>
      <c r="P522" s="3" t="s">
        <v>44</v>
      </c>
      <c r="Q522" s="3">
        <v>0</v>
      </c>
      <c r="R522" s="3">
        <v>0</v>
      </c>
      <c r="S522" s="3">
        <v>0</v>
      </c>
      <c r="T522" s="3">
        <v>0</v>
      </c>
      <c r="U522" s="3">
        <v>16</v>
      </c>
      <c r="V522" s="3" t="s">
        <v>578</v>
      </c>
      <c r="W522" s="3">
        <v>7</v>
      </c>
      <c r="X522" s="3">
        <v>9</v>
      </c>
      <c r="Y522" s="3">
        <v>6</v>
      </c>
      <c r="Z522" s="3">
        <v>4</v>
      </c>
      <c r="AA522" s="3">
        <v>9</v>
      </c>
      <c r="AB522" s="3">
        <v>6</v>
      </c>
      <c r="AC522" s="3">
        <v>12</v>
      </c>
      <c r="AD522" s="3" t="s">
        <v>0</v>
      </c>
      <c r="AE522" s="3" t="s">
        <v>46</v>
      </c>
    </row>
    <row r="523" spans="1:31" ht="25.5" x14ac:dyDescent="0.2">
      <c r="A523" s="4" t="str">
        <f>HYPERLINK("http://www.patentics.cn/invokexml.do?sf=ShowPatent&amp;spn=CN201318776&amp;sv=1d60eaa71ce836d54f45e70abc5c8b6b","CN201318776")</f>
        <v>CN201318776</v>
      </c>
      <c r="B523" s="2" t="s">
        <v>2450</v>
      </c>
      <c r="C523" s="2" t="s">
        <v>2451</v>
      </c>
      <c r="D523" s="2" t="s">
        <v>246</v>
      </c>
      <c r="E523" s="2" t="s">
        <v>36</v>
      </c>
      <c r="F523" s="2" t="s">
        <v>2440</v>
      </c>
      <c r="G523" s="2" t="s">
        <v>2441</v>
      </c>
      <c r="H523" s="2" t="s">
        <v>0</v>
      </c>
      <c r="I523" s="2" t="s">
        <v>2452</v>
      </c>
      <c r="J523" s="2" t="s">
        <v>859</v>
      </c>
      <c r="K523" s="2" t="s">
        <v>41</v>
      </c>
      <c r="L523" s="2" t="s">
        <v>1357</v>
      </c>
      <c r="M523" s="2">
        <v>9</v>
      </c>
      <c r="N523" s="2">
        <v>6</v>
      </c>
      <c r="O523" s="2" t="s">
        <v>55</v>
      </c>
      <c r="P523" s="2" t="s">
        <v>44</v>
      </c>
      <c r="Q523" s="2">
        <v>1</v>
      </c>
      <c r="R523" s="2">
        <v>0</v>
      </c>
      <c r="S523" s="2">
        <v>1</v>
      </c>
      <c r="T523" s="2">
        <v>1</v>
      </c>
      <c r="U523" s="2">
        <v>2</v>
      </c>
      <c r="V523" s="2" t="s">
        <v>2453</v>
      </c>
      <c r="W523" s="2">
        <v>2</v>
      </c>
      <c r="X523" s="2">
        <v>0</v>
      </c>
      <c r="Y523" s="2">
        <v>1</v>
      </c>
      <c r="Z523" s="2">
        <v>1</v>
      </c>
      <c r="AA523" s="2">
        <v>0</v>
      </c>
      <c r="AB523" s="2">
        <v>0</v>
      </c>
      <c r="AC523" s="2" t="s">
        <v>0</v>
      </c>
      <c r="AD523" s="2">
        <v>1</v>
      </c>
      <c r="AE523" s="2" t="s">
        <v>46</v>
      </c>
    </row>
    <row r="524" spans="1:31" ht="51" x14ac:dyDescent="0.2">
      <c r="A524" s="5" t="str">
        <f>HYPERLINK("http://www.patentics.cn/invokexml.do?sf=ShowPatent&amp;spn=CN201129805&amp;sv=3879be8b4fe6c9c435286e083871029a","CN201129805")</f>
        <v>CN201129805</v>
      </c>
      <c r="B524" s="3" t="s">
        <v>2454</v>
      </c>
      <c r="C524" s="3" t="s">
        <v>2455</v>
      </c>
      <c r="D524" s="3" t="s">
        <v>49</v>
      </c>
      <c r="E524" s="3" t="s">
        <v>50</v>
      </c>
      <c r="F524" s="3" t="s">
        <v>2456</v>
      </c>
      <c r="G524" s="3" t="s">
        <v>253</v>
      </c>
      <c r="H524" s="3" t="s">
        <v>0</v>
      </c>
      <c r="I524" s="3" t="s">
        <v>2457</v>
      </c>
      <c r="J524" s="3" t="s">
        <v>1283</v>
      </c>
      <c r="K524" s="3" t="s">
        <v>41</v>
      </c>
      <c r="L524" s="3" t="s">
        <v>428</v>
      </c>
      <c r="M524" s="3">
        <v>10</v>
      </c>
      <c r="N524" s="3">
        <v>24</v>
      </c>
      <c r="O524" s="3" t="s">
        <v>55</v>
      </c>
      <c r="P524" s="3" t="s">
        <v>44</v>
      </c>
      <c r="Q524" s="3">
        <v>0</v>
      </c>
      <c r="R524" s="3">
        <v>0</v>
      </c>
      <c r="S524" s="3">
        <v>0</v>
      </c>
      <c r="T524" s="3">
        <v>0</v>
      </c>
      <c r="U524" s="3">
        <v>1</v>
      </c>
      <c r="V524" s="3" t="s">
        <v>553</v>
      </c>
      <c r="W524" s="3">
        <v>0</v>
      </c>
      <c r="X524" s="3">
        <v>1</v>
      </c>
      <c r="Y524" s="3">
        <v>1</v>
      </c>
      <c r="Z524" s="3">
        <v>1</v>
      </c>
      <c r="AA524" s="3">
        <v>0</v>
      </c>
      <c r="AB524" s="3">
        <v>0</v>
      </c>
      <c r="AC524" s="3">
        <v>12</v>
      </c>
      <c r="AD524" s="3" t="s">
        <v>0</v>
      </c>
      <c r="AE524" s="3" t="s">
        <v>46</v>
      </c>
    </row>
    <row r="525" spans="1:31" ht="38.25" x14ac:dyDescent="0.2">
      <c r="A525" s="4" t="str">
        <f>HYPERLINK("http://www.patentics.cn/invokexml.do?sf=ShowPatent&amp;spn=CN201297728&amp;sv=f72b2265663b6d132d21b7355a6cacca","CN201297728")</f>
        <v>CN201297728</v>
      </c>
      <c r="B525" s="2" t="s">
        <v>2458</v>
      </c>
      <c r="C525" s="2" t="s">
        <v>2459</v>
      </c>
      <c r="D525" s="2" t="s">
        <v>246</v>
      </c>
      <c r="E525" s="2" t="s">
        <v>36</v>
      </c>
      <c r="F525" s="2" t="s">
        <v>2460</v>
      </c>
      <c r="G525" s="2" t="s">
        <v>2441</v>
      </c>
      <c r="H525" s="2" t="s">
        <v>0</v>
      </c>
      <c r="I525" s="2" t="s">
        <v>2461</v>
      </c>
      <c r="J525" s="2" t="s">
        <v>538</v>
      </c>
      <c r="K525" s="2" t="s">
        <v>41</v>
      </c>
      <c r="L525" s="2" t="s">
        <v>2462</v>
      </c>
      <c r="M525" s="2">
        <v>9</v>
      </c>
      <c r="N525" s="2">
        <v>13</v>
      </c>
      <c r="O525" s="2" t="s">
        <v>55</v>
      </c>
      <c r="P525" s="2" t="s">
        <v>44</v>
      </c>
      <c r="Q525" s="2">
        <v>1</v>
      </c>
      <c r="R525" s="2">
        <v>0</v>
      </c>
      <c r="S525" s="2">
        <v>1</v>
      </c>
      <c r="T525" s="2">
        <v>1</v>
      </c>
      <c r="U525" s="2">
        <v>0</v>
      </c>
      <c r="V525" s="2" t="s">
        <v>45</v>
      </c>
      <c r="W525" s="2">
        <v>0</v>
      </c>
      <c r="X525" s="2">
        <v>0</v>
      </c>
      <c r="Y525" s="2">
        <v>0</v>
      </c>
      <c r="Z525" s="2">
        <v>0</v>
      </c>
      <c r="AA525" s="2">
        <v>0</v>
      </c>
      <c r="AB525" s="2">
        <v>0</v>
      </c>
      <c r="AC525" s="2" t="s">
        <v>0</v>
      </c>
      <c r="AD525" s="2">
        <v>1</v>
      </c>
      <c r="AE525" s="2" t="s">
        <v>46</v>
      </c>
    </row>
    <row r="526" spans="1:31" ht="25.5" x14ac:dyDescent="0.2">
      <c r="A526" s="5" t="str">
        <f>HYPERLINK("http://www.patentics.cn/invokexml.do?sf=ShowPatent&amp;spn=CN201110601&amp;sv=dec43bbdf30718634a9708c662a26945","CN201110601")</f>
        <v>CN201110601</v>
      </c>
      <c r="B526" s="3" t="s">
        <v>2463</v>
      </c>
      <c r="C526" s="3" t="s">
        <v>2464</v>
      </c>
      <c r="D526" s="3" t="s">
        <v>49</v>
      </c>
      <c r="E526" s="3" t="s">
        <v>50</v>
      </c>
      <c r="F526" s="3" t="s">
        <v>2465</v>
      </c>
      <c r="G526" s="3" t="s">
        <v>88</v>
      </c>
      <c r="H526" s="3" t="s">
        <v>0</v>
      </c>
      <c r="I526" s="3" t="s">
        <v>2466</v>
      </c>
      <c r="J526" s="3" t="s">
        <v>2467</v>
      </c>
      <c r="K526" s="3" t="s">
        <v>41</v>
      </c>
      <c r="L526" s="3" t="s">
        <v>42</v>
      </c>
      <c r="M526" s="3">
        <v>9</v>
      </c>
      <c r="N526" s="3">
        <v>13</v>
      </c>
      <c r="O526" s="3" t="s">
        <v>55</v>
      </c>
      <c r="P526" s="3" t="s">
        <v>44</v>
      </c>
      <c r="Q526" s="3">
        <v>1</v>
      </c>
      <c r="R526" s="3">
        <v>0</v>
      </c>
      <c r="S526" s="3">
        <v>1</v>
      </c>
      <c r="T526" s="3">
        <v>1</v>
      </c>
      <c r="U526" s="3">
        <v>3</v>
      </c>
      <c r="V526" s="3" t="s">
        <v>2267</v>
      </c>
      <c r="W526" s="3">
        <v>2</v>
      </c>
      <c r="X526" s="3">
        <v>1</v>
      </c>
      <c r="Y526" s="3">
        <v>2</v>
      </c>
      <c r="Z526" s="3">
        <v>1</v>
      </c>
      <c r="AA526" s="3">
        <v>0</v>
      </c>
      <c r="AB526" s="3">
        <v>0</v>
      </c>
      <c r="AC526" s="3">
        <v>12</v>
      </c>
      <c r="AD526" s="3" t="s">
        <v>0</v>
      </c>
      <c r="AE526" s="3" t="s">
        <v>46</v>
      </c>
    </row>
    <row r="527" spans="1:31" ht="38.25" x14ac:dyDescent="0.2">
      <c r="A527" s="4" t="str">
        <f>HYPERLINK("http://www.patentics.cn/invokexml.do?sf=ShowPatent&amp;spn=CN201293434&amp;sv=348a0b190470a922a6271474583f42ec","CN201293434")</f>
        <v>CN201293434</v>
      </c>
      <c r="B527" s="2" t="s">
        <v>2468</v>
      </c>
      <c r="C527" s="2" t="s">
        <v>2469</v>
      </c>
      <c r="D527" s="2" t="s">
        <v>246</v>
      </c>
      <c r="E527" s="2" t="s">
        <v>36</v>
      </c>
      <c r="F527" s="2" t="s">
        <v>2470</v>
      </c>
      <c r="G527" s="2" t="s">
        <v>2471</v>
      </c>
      <c r="H527" s="2" t="s">
        <v>0</v>
      </c>
      <c r="I527" s="2" t="s">
        <v>2472</v>
      </c>
      <c r="J527" s="2" t="s">
        <v>2473</v>
      </c>
      <c r="K527" s="2" t="s">
        <v>41</v>
      </c>
      <c r="L527" s="2" t="s">
        <v>1357</v>
      </c>
      <c r="M527" s="2">
        <v>9</v>
      </c>
      <c r="N527" s="2">
        <v>8</v>
      </c>
      <c r="O527" s="2" t="s">
        <v>55</v>
      </c>
      <c r="P527" s="2" t="s">
        <v>44</v>
      </c>
      <c r="Q527" s="2">
        <v>1</v>
      </c>
      <c r="R527" s="2">
        <v>0</v>
      </c>
      <c r="S527" s="2">
        <v>1</v>
      </c>
      <c r="T527" s="2">
        <v>1</v>
      </c>
      <c r="U527" s="2">
        <v>1</v>
      </c>
      <c r="V527" s="2" t="s">
        <v>1552</v>
      </c>
      <c r="W527" s="2">
        <v>0</v>
      </c>
      <c r="X527" s="2">
        <v>1</v>
      </c>
      <c r="Y527" s="2">
        <v>1</v>
      </c>
      <c r="Z527" s="2">
        <v>1</v>
      </c>
      <c r="AA527" s="2">
        <v>0</v>
      </c>
      <c r="AB527" s="2">
        <v>0</v>
      </c>
      <c r="AC527" s="2" t="s">
        <v>0</v>
      </c>
      <c r="AD527" s="2">
        <v>1</v>
      </c>
      <c r="AE527" s="2" t="s">
        <v>46</v>
      </c>
    </row>
    <row r="528" spans="1:31" ht="38.25" x14ac:dyDescent="0.2">
      <c r="A528" s="5" t="str">
        <f>HYPERLINK("http://www.patentics.cn/invokexml.do?sf=ShowPatent&amp;spn=CN2613717&amp;sv=a2e40565c1a8e25bd36417d30207492c","CN2613717")</f>
        <v>CN2613717</v>
      </c>
      <c r="B528" s="3" t="s">
        <v>2474</v>
      </c>
      <c r="C528" s="3" t="s">
        <v>462</v>
      </c>
      <c r="D528" s="3" t="s">
        <v>49</v>
      </c>
      <c r="E528" s="3" t="s">
        <v>50</v>
      </c>
      <c r="F528" s="3" t="s">
        <v>2475</v>
      </c>
      <c r="G528" s="3" t="s">
        <v>2476</v>
      </c>
      <c r="H528" s="3" t="s">
        <v>0</v>
      </c>
      <c r="I528" s="3" t="s">
        <v>2477</v>
      </c>
      <c r="J528" s="3" t="s">
        <v>2478</v>
      </c>
      <c r="K528" s="3" t="s">
        <v>41</v>
      </c>
      <c r="L528" s="3" t="s">
        <v>1357</v>
      </c>
      <c r="M528" s="3">
        <v>8</v>
      </c>
      <c r="N528" s="3">
        <v>18</v>
      </c>
      <c r="O528" s="3" t="s">
        <v>55</v>
      </c>
      <c r="P528" s="3" t="s">
        <v>44</v>
      </c>
      <c r="Q528" s="3">
        <v>0</v>
      </c>
      <c r="R528" s="3">
        <v>0</v>
      </c>
      <c r="S528" s="3">
        <v>0</v>
      </c>
      <c r="T528" s="3">
        <v>0</v>
      </c>
      <c r="U528" s="3">
        <v>4</v>
      </c>
      <c r="V528" s="3" t="s">
        <v>2479</v>
      </c>
      <c r="W528" s="3">
        <v>1</v>
      </c>
      <c r="X528" s="3">
        <v>3</v>
      </c>
      <c r="Y528" s="3">
        <v>3</v>
      </c>
      <c r="Z528" s="3">
        <v>1</v>
      </c>
      <c r="AA528" s="3">
        <v>0</v>
      </c>
      <c r="AB528" s="3">
        <v>1</v>
      </c>
      <c r="AC528" s="3">
        <v>12</v>
      </c>
      <c r="AD528" s="3" t="s">
        <v>0</v>
      </c>
      <c r="AE528" s="3" t="s">
        <v>57</v>
      </c>
    </row>
    <row r="529" spans="1:31" ht="51" x14ac:dyDescent="0.2">
      <c r="A529" s="4" t="str">
        <f>HYPERLINK("http://www.patentics.cn/invokexml.do?sf=ShowPatent&amp;spn=CN101498562&amp;sv=a3dbf17e6b226ca971bca057466794bb","CN101498562")</f>
        <v>CN101498562</v>
      </c>
      <c r="B529" s="2" t="s">
        <v>2480</v>
      </c>
      <c r="C529" s="2" t="s">
        <v>2481</v>
      </c>
      <c r="D529" s="2" t="s">
        <v>246</v>
      </c>
      <c r="E529" s="2" t="s">
        <v>36</v>
      </c>
      <c r="F529" s="2" t="s">
        <v>2428</v>
      </c>
      <c r="G529" s="2" t="s">
        <v>2429</v>
      </c>
      <c r="H529" s="2" t="s">
        <v>0</v>
      </c>
      <c r="I529" s="2" t="s">
        <v>2430</v>
      </c>
      <c r="J529" s="2" t="s">
        <v>2482</v>
      </c>
      <c r="K529" s="2" t="s">
        <v>1017</v>
      </c>
      <c r="L529" s="2" t="s">
        <v>2483</v>
      </c>
      <c r="M529" s="2">
        <v>8</v>
      </c>
      <c r="N529" s="2">
        <v>11</v>
      </c>
      <c r="O529" s="2" t="s">
        <v>75</v>
      </c>
      <c r="P529" s="2" t="s">
        <v>44</v>
      </c>
      <c r="Q529" s="2">
        <v>2</v>
      </c>
      <c r="R529" s="2">
        <v>0</v>
      </c>
      <c r="S529" s="2">
        <v>2</v>
      </c>
      <c r="T529" s="2">
        <v>2</v>
      </c>
      <c r="U529" s="2">
        <v>1</v>
      </c>
      <c r="V529" s="2" t="s">
        <v>339</v>
      </c>
      <c r="W529" s="2">
        <v>0</v>
      </c>
      <c r="X529" s="2">
        <v>1</v>
      </c>
      <c r="Y529" s="2">
        <v>1</v>
      </c>
      <c r="Z529" s="2">
        <v>1</v>
      </c>
      <c r="AA529" s="2">
        <v>0</v>
      </c>
      <c r="AB529" s="2">
        <v>0</v>
      </c>
      <c r="AC529" s="2" t="s">
        <v>0</v>
      </c>
      <c r="AD529" s="2">
        <v>1</v>
      </c>
      <c r="AE529" s="2" t="s">
        <v>302</v>
      </c>
    </row>
    <row r="530" spans="1:31" ht="38.25" x14ac:dyDescent="0.2">
      <c r="A530" s="5" t="str">
        <f>HYPERLINK("http://www.patentics.cn/invokexml.do?sf=ShowPatent&amp;spn=CN201059904&amp;sv=7ef94c19b4c64fd53d4efab78c667732","CN201059904")</f>
        <v>CN201059904</v>
      </c>
      <c r="B530" s="3" t="s">
        <v>2432</v>
      </c>
      <c r="C530" s="3" t="s">
        <v>2433</v>
      </c>
      <c r="D530" s="3" t="s">
        <v>49</v>
      </c>
      <c r="E530" s="3" t="s">
        <v>50</v>
      </c>
      <c r="F530" s="3" t="s">
        <v>2434</v>
      </c>
      <c r="G530" s="3" t="s">
        <v>1015</v>
      </c>
      <c r="H530" s="3" t="s">
        <v>0</v>
      </c>
      <c r="I530" s="3" t="s">
        <v>2435</v>
      </c>
      <c r="J530" s="3" t="s">
        <v>2436</v>
      </c>
      <c r="K530" s="3" t="s">
        <v>1017</v>
      </c>
      <c r="L530" s="3" t="s">
        <v>2437</v>
      </c>
      <c r="M530" s="3">
        <v>8</v>
      </c>
      <c r="N530" s="3">
        <v>14</v>
      </c>
      <c r="O530" s="3" t="s">
        <v>55</v>
      </c>
      <c r="P530" s="3" t="s">
        <v>44</v>
      </c>
      <c r="Q530" s="3">
        <v>0</v>
      </c>
      <c r="R530" s="3">
        <v>0</v>
      </c>
      <c r="S530" s="3">
        <v>0</v>
      </c>
      <c r="T530" s="3">
        <v>0</v>
      </c>
      <c r="U530" s="3">
        <v>2</v>
      </c>
      <c r="V530" s="3" t="s">
        <v>553</v>
      </c>
      <c r="W530" s="3">
        <v>0</v>
      </c>
      <c r="X530" s="3">
        <v>2</v>
      </c>
      <c r="Y530" s="3">
        <v>1</v>
      </c>
      <c r="Z530" s="3">
        <v>1</v>
      </c>
      <c r="AA530" s="3">
        <v>0</v>
      </c>
      <c r="AB530" s="3">
        <v>0</v>
      </c>
      <c r="AC530" s="3">
        <v>12</v>
      </c>
      <c r="AD530" s="3" t="s">
        <v>0</v>
      </c>
      <c r="AE530" s="3" t="s">
        <v>46</v>
      </c>
    </row>
    <row r="531" spans="1:31" ht="38.25" x14ac:dyDescent="0.2">
      <c r="A531" s="4" t="str">
        <f>HYPERLINK("http://www.patentics.cn/invokexml.do?sf=ShowPatent&amp;spn=CN201273662&amp;sv=eee30a314a5ef3f055dd8840e72158f2","CN201273662")</f>
        <v>CN201273662</v>
      </c>
      <c r="B531" s="2" t="s">
        <v>2484</v>
      </c>
      <c r="C531" s="2" t="s">
        <v>2485</v>
      </c>
      <c r="D531" s="2" t="s">
        <v>246</v>
      </c>
      <c r="E531" s="2" t="s">
        <v>36</v>
      </c>
      <c r="F531" s="2" t="s">
        <v>2470</v>
      </c>
      <c r="G531" s="2" t="s">
        <v>2471</v>
      </c>
      <c r="H531" s="2" t="s">
        <v>0</v>
      </c>
      <c r="I531" s="2" t="s">
        <v>1445</v>
      </c>
      <c r="J531" s="2" t="s">
        <v>1655</v>
      </c>
      <c r="K531" s="2" t="s">
        <v>41</v>
      </c>
      <c r="L531" s="2" t="s">
        <v>1357</v>
      </c>
      <c r="M531" s="2">
        <v>8</v>
      </c>
      <c r="N531" s="2">
        <v>10</v>
      </c>
      <c r="O531" s="2" t="s">
        <v>55</v>
      </c>
      <c r="P531" s="2" t="s">
        <v>44</v>
      </c>
      <c r="Q531" s="2">
        <v>1</v>
      </c>
      <c r="R531" s="2">
        <v>0</v>
      </c>
      <c r="S531" s="2">
        <v>1</v>
      </c>
      <c r="T531" s="2">
        <v>1</v>
      </c>
      <c r="U531" s="2">
        <v>0</v>
      </c>
      <c r="V531" s="2" t="s">
        <v>45</v>
      </c>
      <c r="W531" s="2">
        <v>0</v>
      </c>
      <c r="X531" s="2">
        <v>0</v>
      </c>
      <c r="Y531" s="2">
        <v>0</v>
      </c>
      <c r="Z531" s="2">
        <v>0</v>
      </c>
      <c r="AA531" s="2">
        <v>0</v>
      </c>
      <c r="AB531" s="2">
        <v>0</v>
      </c>
      <c r="AC531" s="2" t="s">
        <v>0</v>
      </c>
      <c r="AD531" s="2">
        <v>1</v>
      </c>
      <c r="AE531" s="2" t="s">
        <v>46</v>
      </c>
    </row>
    <row r="532" spans="1:31" ht="38.25" x14ac:dyDescent="0.2">
      <c r="A532" s="5" t="str">
        <f>HYPERLINK("http://www.patentics.cn/invokexml.do?sf=ShowPatent&amp;spn=CN2613717&amp;sv=a2e40565c1a8e25bd36417d30207492c","CN2613717")</f>
        <v>CN2613717</v>
      </c>
      <c r="B532" s="3" t="s">
        <v>2474</v>
      </c>
      <c r="C532" s="3" t="s">
        <v>462</v>
      </c>
      <c r="D532" s="3" t="s">
        <v>49</v>
      </c>
      <c r="E532" s="3" t="s">
        <v>50</v>
      </c>
      <c r="F532" s="3" t="s">
        <v>2475</v>
      </c>
      <c r="G532" s="3" t="s">
        <v>2476</v>
      </c>
      <c r="H532" s="3" t="s">
        <v>0</v>
      </c>
      <c r="I532" s="3" t="s">
        <v>2477</v>
      </c>
      <c r="J532" s="3" t="s">
        <v>2478</v>
      </c>
      <c r="K532" s="3" t="s">
        <v>41</v>
      </c>
      <c r="L532" s="3" t="s">
        <v>1357</v>
      </c>
      <c r="M532" s="3">
        <v>8</v>
      </c>
      <c r="N532" s="3">
        <v>18</v>
      </c>
      <c r="O532" s="3" t="s">
        <v>55</v>
      </c>
      <c r="P532" s="3" t="s">
        <v>44</v>
      </c>
      <c r="Q532" s="3">
        <v>0</v>
      </c>
      <c r="R532" s="3">
        <v>0</v>
      </c>
      <c r="S532" s="3">
        <v>0</v>
      </c>
      <c r="T532" s="3">
        <v>0</v>
      </c>
      <c r="U532" s="3">
        <v>4</v>
      </c>
      <c r="V532" s="3" t="s">
        <v>2479</v>
      </c>
      <c r="W532" s="3">
        <v>1</v>
      </c>
      <c r="X532" s="3">
        <v>3</v>
      </c>
      <c r="Y532" s="3">
        <v>3</v>
      </c>
      <c r="Z532" s="3">
        <v>1</v>
      </c>
      <c r="AA532" s="3">
        <v>0</v>
      </c>
      <c r="AB532" s="3">
        <v>1</v>
      </c>
      <c r="AC532" s="3">
        <v>12</v>
      </c>
      <c r="AD532" s="3" t="s">
        <v>0</v>
      </c>
      <c r="AE532" s="3" t="s">
        <v>57</v>
      </c>
    </row>
    <row r="533" spans="1:31" ht="38.25" x14ac:dyDescent="0.2">
      <c r="A533" s="4" t="str">
        <f>HYPERLINK("http://www.patentics.cn/invokexml.do?sf=ShowPatent&amp;spn=CN201273664&amp;sv=bd3eec25ef9d76bf27bcd64c0d496042","CN201273664")</f>
        <v>CN201273664</v>
      </c>
      <c r="B533" s="2" t="s">
        <v>2486</v>
      </c>
      <c r="C533" s="2" t="s">
        <v>2487</v>
      </c>
      <c r="D533" s="2" t="s">
        <v>246</v>
      </c>
      <c r="E533" s="2" t="s">
        <v>36</v>
      </c>
      <c r="F533" s="2" t="s">
        <v>2460</v>
      </c>
      <c r="G533" s="2" t="s">
        <v>2441</v>
      </c>
      <c r="H533" s="2" t="s">
        <v>0</v>
      </c>
      <c r="I533" s="2" t="s">
        <v>1445</v>
      </c>
      <c r="J533" s="2" t="s">
        <v>1655</v>
      </c>
      <c r="K533" s="2" t="s">
        <v>41</v>
      </c>
      <c r="L533" s="2" t="s">
        <v>453</v>
      </c>
      <c r="M533" s="2">
        <v>9</v>
      </c>
      <c r="N533" s="2">
        <v>11</v>
      </c>
      <c r="O533" s="2" t="s">
        <v>55</v>
      </c>
      <c r="P533" s="2" t="s">
        <v>44</v>
      </c>
      <c r="Q533" s="2">
        <v>1</v>
      </c>
      <c r="R533" s="2">
        <v>0</v>
      </c>
      <c r="S533" s="2">
        <v>1</v>
      </c>
      <c r="T533" s="2">
        <v>1</v>
      </c>
      <c r="U533" s="2">
        <v>1</v>
      </c>
      <c r="V533" s="2" t="s">
        <v>553</v>
      </c>
      <c r="W533" s="2">
        <v>0</v>
      </c>
      <c r="X533" s="2">
        <v>1</v>
      </c>
      <c r="Y533" s="2">
        <v>1</v>
      </c>
      <c r="Z533" s="2">
        <v>1</v>
      </c>
      <c r="AA533" s="2">
        <v>0</v>
      </c>
      <c r="AB533" s="2">
        <v>0</v>
      </c>
      <c r="AC533" s="2" t="s">
        <v>0</v>
      </c>
      <c r="AD533" s="2">
        <v>1</v>
      </c>
      <c r="AE533" s="2" t="s">
        <v>46</v>
      </c>
    </row>
    <row r="534" spans="1:31" ht="51" x14ac:dyDescent="0.2">
      <c r="A534" s="5" t="str">
        <f>HYPERLINK("http://www.patentics.cn/invokexml.do?sf=ShowPatent&amp;spn=CN201103986&amp;sv=dfa2799919d93816da957318ae36d0ce","CN201103986")</f>
        <v>CN201103986</v>
      </c>
      <c r="B534" s="3" t="s">
        <v>2488</v>
      </c>
      <c r="C534" s="3" t="s">
        <v>2445</v>
      </c>
      <c r="D534" s="3" t="s">
        <v>49</v>
      </c>
      <c r="E534" s="3" t="s">
        <v>50</v>
      </c>
      <c r="F534" s="3" t="s">
        <v>2489</v>
      </c>
      <c r="G534" s="3" t="s">
        <v>253</v>
      </c>
      <c r="H534" s="3" t="s">
        <v>0</v>
      </c>
      <c r="I534" s="3" t="s">
        <v>2490</v>
      </c>
      <c r="J534" s="3" t="s">
        <v>98</v>
      </c>
      <c r="K534" s="3" t="s">
        <v>41</v>
      </c>
      <c r="L534" s="3" t="s">
        <v>1743</v>
      </c>
      <c r="M534" s="3">
        <v>10</v>
      </c>
      <c r="N534" s="3">
        <v>29</v>
      </c>
      <c r="O534" s="3" t="s">
        <v>55</v>
      </c>
      <c r="P534" s="3" t="s">
        <v>44</v>
      </c>
      <c r="Q534" s="3">
        <v>0</v>
      </c>
      <c r="R534" s="3">
        <v>0</v>
      </c>
      <c r="S534" s="3">
        <v>0</v>
      </c>
      <c r="T534" s="3">
        <v>0</v>
      </c>
      <c r="U534" s="3">
        <v>1</v>
      </c>
      <c r="V534" s="3" t="s">
        <v>553</v>
      </c>
      <c r="W534" s="3">
        <v>0</v>
      </c>
      <c r="X534" s="3">
        <v>1</v>
      </c>
      <c r="Y534" s="3">
        <v>1</v>
      </c>
      <c r="Z534" s="3">
        <v>1</v>
      </c>
      <c r="AA534" s="3">
        <v>0</v>
      </c>
      <c r="AB534" s="3">
        <v>0</v>
      </c>
      <c r="AC534" s="3">
        <v>12</v>
      </c>
      <c r="AD534" s="3" t="s">
        <v>0</v>
      </c>
      <c r="AE534" s="3" t="s">
        <v>46</v>
      </c>
    </row>
    <row r="535" spans="1:31" ht="38.25" x14ac:dyDescent="0.2">
      <c r="A535" s="4" t="str">
        <f>HYPERLINK("http://www.patentics.cn/invokexml.do?sf=ShowPatent&amp;spn=CN201273697&amp;sv=a53345130b6030541fec3ed26b3b5b3a","CN201273697")</f>
        <v>CN201273697</v>
      </c>
      <c r="B535" s="2" t="s">
        <v>2491</v>
      </c>
      <c r="C535" s="2" t="s">
        <v>2492</v>
      </c>
      <c r="D535" s="2" t="s">
        <v>246</v>
      </c>
      <c r="E535" s="2" t="s">
        <v>36</v>
      </c>
      <c r="F535" s="2" t="s">
        <v>2493</v>
      </c>
      <c r="G535" s="2" t="s">
        <v>2494</v>
      </c>
      <c r="H535" s="2" t="s">
        <v>0</v>
      </c>
      <c r="I535" s="2" t="s">
        <v>2495</v>
      </c>
      <c r="J535" s="2" t="s">
        <v>1655</v>
      </c>
      <c r="K535" s="2" t="s">
        <v>1608</v>
      </c>
      <c r="L535" s="2" t="s">
        <v>1679</v>
      </c>
      <c r="M535" s="2">
        <v>4</v>
      </c>
      <c r="N535" s="2">
        <v>13</v>
      </c>
      <c r="O535" s="2" t="s">
        <v>55</v>
      </c>
      <c r="P535" s="2" t="s">
        <v>44</v>
      </c>
      <c r="Q535" s="2">
        <v>1</v>
      </c>
      <c r="R535" s="2">
        <v>0</v>
      </c>
      <c r="S535" s="2">
        <v>1</v>
      </c>
      <c r="T535" s="2">
        <v>1</v>
      </c>
      <c r="U535" s="2">
        <v>0</v>
      </c>
      <c r="V535" s="2" t="s">
        <v>45</v>
      </c>
      <c r="W535" s="2">
        <v>0</v>
      </c>
      <c r="X535" s="2">
        <v>0</v>
      </c>
      <c r="Y535" s="2">
        <v>0</v>
      </c>
      <c r="Z535" s="2">
        <v>0</v>
      </c>
      <c r="AA535" s="2">
        <v>0</v>
      </c>
      <c r="AB535" s="2">
        <v>0</v>
      </c>
      <c r="AC535" s="2" t="s">
        <v>0</v>
      </c>
      <c r="AD535" s="2">
        <v>1</v>
      </c>
      <c r="AE535" s="2" t="s">
        <v>46</v>
      </c>
    </row>
    <row r="536" spans="1:31" ht="38.25" x14ac:dyDescent="0.2">
      <c r="A536" s="5" t="str">
        <f>HYPERLINK("http://www.patentics.cn/invokexml.do?sf=ShowPatent&amp;spn=CN201028784&amp;sv=07dec982a5bd3b0fc4f18ace32d75632","CN201028784")</f>
        <v>CN201028784</v>
      </c>
      <c r="B536" s="3" t="s">
        <v>2496</v>
      </c>
      <c r="C536" s="3" t="s">
        <v>2497</v>
      </c>
      <c r="D536" s="3" t="s">
        <v>49</v>
      </c>
      <c r="E536" s="3" t="s">
        <v>50</v>
      </c>
      <c r="F536" s="3" t="s">
        <v>2498</v>
      </c>
      <c r="G536" s="3" t="s">
        <v>479</v>
      </c>
      <c r="H536" s="3" t="s">
        <v>0</v>
      </c>
      <c r="I536" s="3" t="s">
        <v>2499</v>
      </c>
      <c r="J536" s="3" t="s">
        <v>1513</v>
      </c>
      <c r="K536" s="3" t="s">
        <v>1608</v>
      </c>
      <c r="L536" s="3" t="s">
        <v>1679</v>
      </c>
      <c r="M536" s="3">
        <v>2</v>
      </c>
      <c r="N536" s="3">
        <v>31</v>
      </c>
      <c r="O536" s="3" t="s">
        <v>55</v>
      </c>
      <c r="P536" s="3" t="s">
        <v>44</v>
      </c>
      <c r="Q536" s="3">
        <v>0</v>
      </c>
      <c r="R536" s="3">
        <v>0</v>
      </c>
      <c r="S536" s="3">
        <v>0</v>
      </c>
      <c r="T536" s="3">
        <v>0</v>
      </c>
      <c r="U536" s="3">
        <v>5</v>
      </c>
      <c r="V536" s="3" t="s">
        <v>2500</v>
      </c>
      <c r="W536" s="3">
        <v>1</v>
      </c>
      <c r="X536" s="3">
        <v>4</v>
      </c>
      <c r="Y536" s="3">
        <v>4</v>
      </c>
      <c r="Z536" s="3">
        <v>1</v>
      </c>
      <c r="AA536" s="3">
        <v>0</v>
      </c>
      <c r="AB536" s="3">
        <v>0</v>
      </c>
      <c r="AC536" s="3">
        <v>12</v>
      </c>
      <c r="AD536" s="3" t="s">
        <v>0</v>
      </c>
      <c r="AE536" s="3" t="s">
        <v>57</v>
      </c>
    </row>
    <row r="537" spans="1:31" ht="25.5" x14ac:dyDescent="0.2">
      <c r="A537" s="4" t="str">
        <f>HYPERLINK("http://www.patentics.cn/invokexml.do?sf=ShowPatent&amp;spn=CN101419000&amp;sv=d8114235ea4d5c2d6edf8302c63babe5","CN101419000")</f>
        <v>CN101419000</v>
      </c>
      <c r="B537" s="2" t="s">
        <v>2501</v>
      </c>
      <c r="C537" s="2" t="s">
        <v>2502</v>
      </c>
      <c r="D537" s="2" t="s">
        <v>246</v>
      </c>
      <c r="E537" s="2" t="s">
        <v>36</v>
      </c>
      <c r="F537" s="2" t="s">
        <v>2503</v>
      </c>
      <c r="G537" s="2" t="s">
        <v>2504</v>
      </c>
      <c r="H537" s="2" t="s">
        <v>0</v>
      </c>
      <c r="I537" s="2" t="s">
        <v>2505</v>
      </c>
      <c r="J537" s="2" t="s">
        <v>2506</v>
      </c>
      <c r="K537" s="2" t="s">
        <v>347</v>
      </c>
      <c r="L537" s="2" t="s">
        <v>2507</v>
      </c>
      <c r="M537" s="2">
        <v>3</v>
      </c>
      <c r="N537" s="2">
        <v>15</v>
      </c>
      <c r="O537" s="2" t="s">
        <v>75</v>
      </c>
      <c r="P537" s="2" t="s">
        <v>44</v>
      </c>
      <c r="Q537" s="2">
        <v>1</v>
      </c>
      <c r="R537" s="2">
        <v>0</v>
      </c>
      <c r="S537" s="2">
        <v>1</v>
      </c>
      <c r="T537" s="2">
        <v>1</v>
      </c>
      <c r="U537" s="2">
        <v>0</v>
      </c>
      <c r="V537" s="2" t="s">
        <v>45</v>
      </c>
      <c r="W537" s="2">
        <v>0</v>
      </c>
      <c r="X537" s="2">
        <v>0</v>
      </c>
      <c r="Y537" s="2">
        <v>0</v>
      </c>
      <c r="Z537" s="2">
        <v>0</v>
      </c>
      <c r="AA537" s="2">
        <v>0</v>
      </c>
      <c r="AB537" s="2">
        <v>0</v>
      </c>
      <c r="AC537" s="2" t="s">
        <v>0</v>
      </c>
      <c r="AD537" s="2">
        <v>1</v>
      </c>
      <c r="AE537" s="2" t="s">
        <v>302</v>
      </c>
    </row>
    <row r="538" spans="1:31" ht="51" x14ac:dyDescent="0.2">
      <c r="A538" s="5" t="str">
        <f>HYPERLINK("http://www.patentics.cn/invokexml.do?sf=ShowPatent&amp;spn=CN101165438&amp;sv=ea18763591864194820a7f7e15fc42df","CN101165438")</f>
        <v>CN101165438</v>
      </c>
      <c r="B538" s="3" t="s">
        <v>600</v>
      </c>
      <c r="C538" s="3" t="s">
        <v>601</v>
      </c>
      <c r="D538" s="3" t="s">
        <v>49</v>
      </c>
      <c r="E538" s="3" t="s">
        <v>50</v>
      </c>
      <c r="F538" s="3" t="s">
        <v>602</v>
      </c>
      <c r="G538" s="3" t="s">
        <v>253</v>
      </c>
      <c r="H538" s="3" t="s">
        <v>603</v>
      </c>
      <c r="I538" s="3" t="s">
        <v>603</v>
      </c>
      <c r="J538" s="3" t="s">
        <v>604</v>
      </c>
      <c r="K538" s="3" t="s">
        <v>347</v>
      </c>
      <c r="L538" s="3" t="s">
        <v>482</v>
      </c>
      <c r="M538" s="3">
        <v>10</v>
      </c>
      <c r="N538" s="3">
        <v>13</v>
      </c>
      <c r="O538" s="3" t="s">
        <v>75</v>
      </c>
      <c r="P538" s="3" t="s">
        <v>44</v>
      </c>
      <c r="Q538" s="3">
        <v>0</v>
      </c>
      <c r="R538" s="3">
        <v>0</v>
      </c>
      <c r="S538" s="3">
        <v>0</v>
      </c>
      <c r="T538" s="3">
        <v>0</v>
      </c>
      <c r="U538" s="3">
        <v>8</v>
      </c>
      <c r="V538" s="3" t="s">
        <v>605</v>
      </c>
      <c r="W538" s="3">
        <v>1</v>
      </c>
      <c r="X538" s="3">
        <v>7</v>
      </c>
      <c r="Y538" s="3">
        <v>3</v>
      </c>
      <c r="Z538" s="3">
        <v>2</v>
      </c>
      <c r="AA538" s="3">
        <v>1</v>
      </c>
      <c r="AB538" s="3">
        <v>1</v>
      </c>
      <c r="AC538" s="3">
        <v>12</v>
      </c>
      <c r="AD538" s="3" t="s">
        <v>0</v>
      </c>
      <c r="AE538" s="3" t="s">
        <v>46</v>
      </c>
    </row>
    <row r="539" spans="1:31" ht="25.5" x14ac:dyDescent="0.2">
      <c r="A539" s="4" t="str">
        <f>HYPERLINK("http://www.patentics.cn/invokexml.do?sf=ShowPatent&amp;spn=CN201202674&amp;sv=e1b1f32703ed50855ff44413efb1fdf6","CN201202674")</f>
        <v>CN201202674</v>
      </c>
      <c r="B539" s="2" t="s">
        <v>2508</v>
      </c>
      <c r="C539" s="2" t="s">
        <v>2509</v>
      </c>
      <c r="D539" s="2" t="s">
        <v>36</v>
      </c>
      <c r="E539" s="2" t="s">
        <v>36</v>
      </c>
      <c r="F539" s="2" t="s">
        <v>2510</v>
      </c>
      <c r="G539" s="2" t="s">
        <v>2511</v>
      </c>
      <c r="H539" s="2" t="s">
        <v>0</v>
      </c>
      <c r="I539" s="2" t="s">
        <v>2512</v>
      </c>
      <c r="J539" s="2" t="s">
        <v>2513</v>
      </c>
      <c r="K539" s="2" t="s">
        <v>789</v>
      </c>
      <c r="L539" s="2" t="s">
        <v>2514</v>
      </c>
      <c r="M539" s="2">
        <v>4</v>
      </c>
      <c r="N539" s="2">
        <v>8</v>
      </c>
      <c r="O539" s="2" t="s">
        <v>55</v>
      </c>
      <c r="P539" s="2" t="s">
        <v>44</v>
      </c>
      <c r="Q539" s="2">
        <v>2</v>
      </c>
      <c r="R539" s="2">
        <v>0</v>
      </c>
      <c r="S539" s="2">
        <v>2</v>
      </c>
      <c r="T539" s="2">
        <v>2</v>
      </c>
      <c r="U539" s="2">
        <v>0</v>
      </c>
      <c r="V539" s="2" t="s">
        <v>45</v>
      </c>
      <c r="W539" s="2">
        <v>0</v>
      </c>
      <c r="X539" s="2">
        <v>0</v>
      </c>
      <c r="Y539" s="2">
        <v>0</v>
      </c>
      <c r="Z539" s="2">
        <v>0</v>
      </c>
      <c r="AA539" s="2">
        <v>0</v>
      </c>
      <c r="AB539" s="2">
        <v>0</v>
      </c>
      <c r="AC539" s="2" t="s">
        <v>0</v>
      </c>
      <c r="AD539" s="2">
        <v>1</v>
      </c>
      <c r="AE539" s="2" t="s">
        <v>46</v>
      </c>
    </row>
    <row r="540" spans="1:31" x14ac:dyDescent="0.2">
      <c r="A540" s="5" t="str">
        <f>HYPERLINK("http://www.patentics.cn/invokexml.do?sf=ShowPatent&amp;spn=CN2405050&amp;sv=2d377e2f7e9561451e06decd19518686","CN2405050")</f>
        <v>CN2405050</v>
      </c>
      <c r="B540" s="3" t="s">
        <v>2515</v>
      </c>
      <c r="C540" s="3" t="s">
        <v>2509</v>
      </c>
      <c r="D540" s="3" t="s">
        <v>2516</v>
      </c>
      <c r="E540" s="3" t="s">
        <v>50</v>
      </c>
      <c r="F540" s="3" t="s">
        <v>2517</v>
      </c>
      <c r="G540" s="3" t="s">
        <v>2517</v>
      </c>
      <c r="H540" s="3" t="s">
        <v>2518</v>
      </c>
      <c r="I540" s="3" t="s">
        <v>2518</v>
      </c>
      <c r="J540" s="3" t="s">
        <v>2519</v>
      </c>
      <c r="K540" s="3" t="s">
        <v>789</v>
      </c>
      <c r="L540" s="3" t="s">
        <v>2514</v>
      </c>
      <c r="M540" s="3">
        <v>2</v>
      </c>
      <c r="N540" s="3">
        <v>4</v>
      </c>
      <c r="O540" s="3" t="s">
        <v>55</v>
      </c>
      <c r="P540" s="3" t="s">
        <v>44</v>
      </c>
      <c r="Q540" s="3">
        <v>0</v>
      </c>
      <c r="R540" s="3">
        <v>0</v>
      </c>
      <c r="S540" s="3">
        <v>0</v>
      </c>
      <c r="T540" s="3">
        <v>0</v>
      </c>
      <c r="U540" s="3">
        <v>1</v>
      </c>
      <c r="V540" s="3" t="s">
        <v>56</v>
      </c>
      <c r="W540" s="3">
        <v>0</v>
      </c>
      <c r="X540" s="3">
        <v>1</v>
      </c>
      <c r="Y540" s="3">
        <v>1</v>
      </c>
      <c r="Z540" s="3">
        <v>1</v>
      </c>
      <c r="AA540" s="3">
        <v>0</v>
      </c>
      <c r="AB540" s="3">
        <v>0</v>
      </c>
      <c r="AC540" s="3">
        <v>12</v>
      </c>
      <c r="AD540" s="3" t="s">
        <v>0</v>
      </c>
      <c r="AE540" s="3" t="s">
        <v>57</v>
      </c>
    </row>
    <row r="541" spans="1:31" ht="38.25" x14ac:dyDescent="0.2">
      <c r="A541" s="4" t="str">
        <f>HYPERLINK("http://www.patentics.cn/invokexml.do?sf=ShowPatent&amp;spn=CN201166440&amp;sv=ecaa0a8d2407033998665958a5150907","CN201166440")</f>
        <v>CN201166440</v>
      </c>
      <c r="B541" s="2" t="s">
        <v>2520</v>
      </c>
      <c r="C541" s="2" t="s">
        <v>2521</v>
      </c>
      <c r="D541" s="2" t="s">
        <v>246</v>
      </c>
      <c r="E541" s="2" t="s">
        <v>36</v>
      </c>
      <c r="F541" s="2" t="s">
        <v>2522</v>
      </c>
      <c r="G541" s="2" t="s">
        <v>433</v>
      </c>
      <c r="H541" s="2" t="s">
        <v>0</v>
      </c>
      <c r="I541" s="2" t="s">
        <v>2523</v>
      </c>
      <c r="J541" s="2" t="s">
        <v>2391</v>
      </c>
      <c r="K541" s="2" t="s">
        <v>41</v>
      </c>
      <c r="L541" s="2" t="s">
        <v>1743</v>
      </c>
      <c r="M541" s="2">
        <v>10</v>
      </c>
      <c r="N541" s="2">
        <v>20</v>
      </c>
      <c r="O541" s="2" t="s">
        <v>55</v>
      </c>
      <c r="P541" s="2" t="s">
        <v>44</v>
      </c>
      <c r="Q541" s="2">
        <v>1</v>
      </c>
      <c r="R541" s="2">
        <v>0</v>
      </c>
      <c r="S541" s="2">
        <v>1</v>
      </c>
      <c r="T541" s="2">
        <v>1</v>
      </c>
      <c r="U541" s="2">
        <v>0</v>
      </c>
      <c r="V541" s="2" t="s">
        <v>45</v>
      </c>
      <c r="W541" s="2">
        <v>0</v>
      </c>
      <c r="X541" s="2">
        <v>0</v>
      </c>
      <c r="Y541" s="2">
        <v>0</v>
      </c>
      <c r="Z541" s="2">
        <v>0</v>
      </c>
      <c r="AA541" s="2">
        <v>0</v>
      </c>
      <c r="AB541" s="2">
        <v>0</v>
      </c>
      <c r="AC541" s="2" t="s">
        <v>0</v>
      </c>
      <c r="AD541" s="2">
        <v>1</v>
      </c>
      <c r="AE541" s="2" t="s">
        <v>46</v>
      </c>
    </row>
    <row r="542" spans="1:31" ht="63.75" x14ac:dyDescent="0.2">
      <c r="A542" s="5" t="str">
        <f>HYPERLINK("http://www.patentics.cn/invokexml.do?sf=ShowPatent&amp;spn=CN2906404&amp;sv=2a610c7742aaef706bf043e190d49967","CN2906404")</f>
        <v>CN2906404</v>
      </c>
      <c r="B542" s="3" t="s">
        <v>2524</v>
      </c>
      <c r="C542" s="3" t="s">
        <v>258</v>
      </c>
      <c r="D542" s="3" t="s">
        <v>49</v>
      </c>
      <c r="E542" s="3" t="s">
        <v>50</v>
      </c>
      <c r="F542" s="3" t="s">
        <v>2525</v>
      </c>
      <c r="G542" s="3" t="s">
        <v>264</v>
      </c>
      <c r="H542" s="3" t="s">
        <v>2526</v>
      </c>
      <c r="I542" s="3" t="s">
        <v>2526</v>
      </c>
      <c r="J542" s="3" t="s">
        <v>2527</v>
      </c>
      <c r="K542" s="3" t="s">
        <v>41</v>
      </c>
      <c r="L542" s="3" t="s">
        <v>42</v>
      </c>
      <c r="M542" s="3">
        <v>10</v>
      </c>
      <c r="N542" s="3">
        <v>36</v>
      </c>
      <c r="O542" s="3" t="s">
        <v>55</v>
      </c>
      <c r="P542" s="3" t="s">
        <v>44</v>
      </c>
      <c r="Q542" s="3">
        <v>1</v>
      </c>
      <c r="R542" s="3">
        <v>0</v>
      </c>
      <c r="S542" s="3">
        <v>1</v>
      </c>
      <c r="T542" s="3">
        <v>1</v>
      </c>
      <c r="U542" s="3">
        <v>9</v>
      </c>
      <c r="V542" s="3" t="s">
        <v>2528</v>
      </c>
      <c r="W542" s="3">
        <v>8</v>
      </c>
      <c r="X542" s="3">
        <v>1</v>
      </c>
      <c r="Y542" s="3">
        <v>2</v>
      </c>
      <c r="Z542" s="3">
        <v>2</v>
      </c>
      <c r="AA542" s="3">
        <v>2</v>
      </c>
      <c r="AB542" s="3">
        <v>2</v>
      </c>
      <c r="AC542" s="3">
        <v>12</v>
      </c>
      <c r="AD542" s="3" t="s">
        <v>0</v>
      </c>
      <c r="AE542" s="3" t="s">
        <v>57</v>
      </c>
    </row>
    <row r="543" spans="1:31" ht="25.5" x14ac:dyDescent="0.2">
      <c r="A543" s="4" t="str">
        <f>HYPERLINK("http://www.patentics.cn/invokexml.do?sf=ShowPatent&amp;spn=CN101033863&amp;sv=5751f9e306b330276202500f78cf18f3","CN101033863")</f>
        <v>CN101033863</v>
      </c>
      <c r="B543" s="2" t="s">
        <v>1823</v>
      </c>
      <c r="C543" s="2" t="s">
        <v>1824</v>
      </c>
      <c r="D543" s="2" t="s">
        <v>36</v>
      </c>
      <c r="E543" s="2" t="s">
        <v>36</v>
      </c>
      <c r="F543" s="2" t="s">
        <v>2529</v>
      </c>
      <c r="G543" s="2" t="s">
        <v>1826</v>
      </c>
      <c r="H543" s="2" t="s">
        <v>1827</v>
      </c>
      <c r="I543" s="2" t="s">
        <v>1827</v>
      </c>
      <c r="J543" s="2" t="s">
        <v>577</v>
      </c>
      <c r="K543" s="2" t="s">
        <v>2530</v>
      </c>
      <c r="L543" s="2" t="s">
        <v>2531</v>
      </c>
      <c r="M543" s="2">
        <v>5</v>
      </c>
      <c r="N543" s="2">
        <v>13</v>
      </c>
      <c r="O543" s="2" t="s">
        <v>75</v>
      </c>
      <c r="P543" s="2" t="s">
        <v>44</v>
      </c>
      <c r="Q543" s="2">
        <v>1</v>
      </c>
      <c r="R543" s="2">
        <v>0</v>
      </c>
      <c r="S543" s="2">
        <v>1</v>
      </c>
      <c r="T543" s="2">
        <v>1</v>
      </c>
      <c r="U543" s="2">
        <v>1</v>
      </c>
      <c r="V543" s="2" t="s">
        <v>339</v>
      </c>
      <c r="W543" s="2">
        <v>0</v>
      </c>
      <c r="X543" s="2">
        <v>1</v>
      </c>
      <c r="Y543" s="2">
        <v>1</v>
      </c>
      <c r="Z543" s="2">
        <v>1</v>
      </c>
      <c r="AA543" s="2">
        <v>1</v>
      </c>
      <c r="AB543" s="2">
        <v>1</v>
      </c>
      <c r="AC543" s="2" t="s">
        <v>0</v>
      </c>
      <c r="AD543" s="2">
        <v>1</v>
      </c>
      <c r="AE543" s="2" t="s">
        <v>46</v>
      </c>
    </row>
    <row r="544" spans="1:31" ht="51" x14ac:dyDescent="0.2">
      <c r="A544" s="5" t="str">
        <f>HYPERLINK("http://www.patentics.cn/invokexml.do?sf=ShowPatent&amp;spn=CN1746905&amp;sv=edcde8fa741a6122aaf0a8031c249e87","CN1746905")</f>
        <v>CN1746905</v>
      </c>
      <c r="B544" s="3" t="s">
        <v>1830</v>
      </c>
      <c r="C544" s="3" t="s">
        <v>1831</v>
      </c>
      <c r="D544" s="3" t="s">
        <v>49</v>
      </c>
      <c r="E544" s="3" t="s">
        <v>50</v>
      </c>
      <c r="F544" s="3" t="s">
        <v>1832</v>
      </c>
      <c r="G544" s="3" t="s">
        <v>52</v>
      </c>
      <c r="H544" s="3" t="s">
        <v>1833</v>
      </c>
      <c r="I544" s="3" t="s">
        <v>1833</v>
      </c>
      <c r="J544" s="3" t="s">
        <v>1834</v>
      </c>
      <c r="K544" s="3" t="s">
        <v>1828</v>
      </c>
      <c r="L544" s="3" t="s">
        <v>1829</v>
      </c>
      <c r="M544" s="3">
        <v>10</v>
      </c>
      <c r="N544" s="3">
        <v>30</v>
      </c>
      <c r="O544" s="3" t="s">
        <v>75</v>
      </c>
      <c r="P544" s="3" t="s">
        <v>44</v>
      </c>
      <c r="Q544" s="3">
        <v>0</v>
      </c>
      <c r="R544" s="3">
        <v>0</v>
      </c>
      <c r="S544" s="3">
        <v>0</v>
      </c>
      <c r="T544" s="3">
        <v>0</v>
      </c>
      <c r="U544" s="3">
        <v>5</v>
      </c>
      <c r="V544" s="3" t="s">
        <v>1835</v>
      </c>
      <c r="W544" s="3">
        <v>0</v>
      </c>
      <c r="X544" s="3">
        <v>5</v>
      </c>
      <c r="Y544" s="3">
        <v>2</v>
      </c>
      <c r="Z544" s="3">
        <v>1</v>
      </c>
      <c r="AA544" s="3">
        <v>1</v>
      </c>
      <c r="AB544" s="3">
        <v>1</v>
      </c>
      <c r="AC544" s="3">
        <v>12</v>
      </c>
      <c r="AD544" s="3" t="s">
        <v>0</v>
      </c>
      <c r="AE544" s="3" t="s">
        <v>46</v>
      </c>
    </row>
    <row r="545" spans="1:31" ht="25.5" x14ac:dyDescent="0.2">
      <c r="A545" s="4" t="str">
        <f>HYPERLINK("http://www.patentics.cn/invokexml.do?sf=ShowPatent&amp;spn=CN2384146&amp;sv=72cd77ac37de4be0af2b0ac5647b8cac","CN2384146")</f>
        <v>CN2384146</v>
      </c>
      <c r="B545" s="2" t="s">
        <v>2532</v>
      </c>
      <c r="C545" s="2" t="s">
        <v>2533</v>
      </c>
      <c r="D545" s="2" t="s">
        <v>2534</v>
      </c>
      <c r="E545" s="2" t="s">
        <v>36</v>
      </c>
      <c r="F545" s="2" t="s">
        <v>2535</v>
      </c>
      <c r="G545" s="2" t="s">
        <v>2536</v>
      </c>
      <c r="H545" s="2" t="s">
        <v>2537</v>
      </c>
      <c r="I545" s="2" t="s">
        <v>2537</v>
      </c>
      <c r="J545" s="2" t="s">
        <v>2538</v>
      </c>
      <c r="K545" s="2" t="s">
        <v>41</v>
      </c>
      <c r="L545" s="2" t="s">
        <v>441</v>
      </c>
      <c r="M545" s="2">
        <v>3</v>
      </c>
      <c r="N545" s="2">
        <v>8</v>
      </c>
      <c r="O545" s="2" t="s">
        <v>55</v>
      </c>
      <c r="P545" s="2" t="s">
        <v>44</v>
      </c>
      <c r="Q545" s="2">
        <v>1</v>
      </c>
      <c r="R545" s="2">
        <v>0</v>
      </c>
      <c r="S545" s="2">
        <v>1</v>
      </c>
      <c r="T545" s="2">
        <v>1</v>
      </c>
      <c r="U545" s="2">
        <v>4</v>
      </c>
      <c r="V545" s="2" t="s">
        <v>883</v>
      </c>
      <c r="W545" s="2">
        <v>0</v>
      </c>
      <c r="X545" s="2">
        <v>4</v>
      </c>
      <c r="Y545" s="2">
        <v>2</v>
      </c>
      <c r="Z545" s="2">
        <v>1</v>
      </c>
      <c r="AA545" s="2">
        <v>0</v>
      </c>
      <c r="AB545" s="2">
        <v>0</v>
      </c>
      <c r="AC545" s="2" t="s">
        <v>0</v>
      </c>
      <c r="AD545" s="2">
        <v>1</v>
      </c>
      <c r="AE545" s="2" t="s">
        <v>57</v>
      </c>
    </row>
    <row r="546" spans="1:31" ht="38.25" x14ac:dyDescent="0.2">
      <c r="A546" s="5" t="str">
        <f>HYPERLINK("http://www.patentics.cn/invokexml.do?sf=ShowPatent&amp;spn=CN2175892&amp;sv=5a463572a2105f7913b0e8f95167b557","CN2175892")</f>
        <v>CN2175892</v>
      </c>
      <c r="B546" s="3" t="s">
        <v>2539</v>
      </c>
      <c r="C546" s="3" t="s">
        <v>2540</v>
      </c>
      <c r="D546" s="3" t="s">
        <v>1640</v>
      </c>
      <c r="E546" s="3" t="s">
        <v>50</v>
      </c>
      <c r="F546" s="3" t="s">
        <v>2541</v>
      </c>
      <c r="G546" s="3" t="s">
        <v>2542</v>
      </c>
      <c r="H546" s="3" t="s">
        <v>1643</v>
      </c>
      <c r="I546" s="3" t="s">
        <v>1643</v>
      </c>
      <c r="J546" s="3" t="s">
        <v>1644</v>
      </c>
      <c r="K546" s="3" t="s">
        <v>41</v>
      </c>
      <c r="L546" s="3" t="s">
        <v>428</v>
      </c>
      <c r="M546" s="3">
        <v>3</v>
      </c>
      <c r="N546" s="3">
        <v>12</v>
      </c>
      <c r="O546" s="3" t="s">
        <v>55</v>
      </c>
      <c r="P546" s="3" t="s">
        <v>44</v>
      </c>
      <c r="Q546" s="3">
        <v>0</v>
      </c>
      <c r="R546" s="3">
        <v>0</v>
      </c>
      <c r="S546" s="3">
        <v>0</v>
      </c>
      <c r="T546" s="3">
        <v>0</v>
      </c>
      <c r="U546" s="3">
        <v>3</v>
      </c>
      <c r="V546" s="3" t="s">
        <v>2195</v>
      </c>
      <c r="W546" s="3">
        <v>2</v>
      </c>
      <c r="X546" s="3">
        <v>1</v>
      </c>
      <c r="Y546" s="3">
        <v>2</v>
      </c>
      <c r="Z546" s="3">
        <v>1</v>
      </c>
      <c r="AA546" s="3">
        <v>0</v>
      </c>
      <c r="AB546" s="3">
        <v>0</v>
      </c>
      <c r="AC546" s="3">
        <v>12</v>
      </c>
      <c r="AD546" s="3" t="s">
        <v>0</v>
      </c>
      <c r="AE546" s="3" t="s">
        <v>57</v>
      </c>
    </row>
  </sheetData>
  <autoFilter ref="A2:AE2"/>
  <mergeCells count="2">
    <mergeCell ref="A1:B1"/>
    <mergeCell ref="C1:G1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Patentics</vt:lpstr>
      <vt:lpstr>分析库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</cp:lastModifiedBy>
  <dcterms:modified xsi:type="dcterms:W3CDTF">2017-06-01T11:04:24Z</dcterms:modified>
</cp:coreProperties>
</file>